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25" windowHeight="10590" activeTab="0"/>
  </bookViews>
  <sheets>
    <sheet name="Main" sheetId="1" r:id="rId1"/>
    <sheet name="Calculations" sheetId="2" r:id="rId2"/>
    <sheet name="Material" sheetId="3" r:id="rId3"/>
    <sheet name="Plot" sheetId="4" r:id="rId4"/>
    <sheet name="Coordinate" sheetId="5" r:id="rId5"/>
    <sheet name="Revisions" sheetId="6" r:id="rId6"/>
  </sheets>
  <externalReferences>
    <externalReference r:id="rId9"/>
  </externalReferences>
  <definedNames>
    <definedName name="CG_Z">'Main'!$C$6</definedName>
    <definedName name="_xlnm.Print_Area" localSheetId="1">'Calculations'!$B$1:$M$39</definedName>
    <definedName name="_xlnm.Print_Area" localSheetId="0">'Main'!$B$1:$K$49</definedName>
    <definedName name="TireDia">'Main'!$C$4</definedName>
    <definedName name="TireRR">'Main'!$C$5</definedName>
    <definedName name="Weight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Triaged</author>
  </authors>
  <commentList>
    <comment ref="D14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3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3" authorId="0">
      <text>
        <r>
          <rPr>
            <b/>
            <sz val="8"/>
            <rFont val="Tahoma"/>
            <family val="0"/>
          </rPr>
          <t>Height from ground</t>
        </r>
      </text>
    </comment>
    <comment ref="E14" authorId="0">
      <text>
        <r>
          <rPr>
            <b/>
            <sz val="8"/>
            <rFont val="Tahoma"/>
            <family val="0"/>
          </rPr>
          <t>Height from ground</t>
        </r>
      </text>
    </comment>
    <comment ref="E10" authorId="0">
      <text>
        <r>
          <rPr>
            <b/>
            <sz val="8"/>
            <rFont val="Tahoma"/>
            <family val="0"/>
          </rPr>
          <t>Height from ground</t>
        </r>
      </text>
    </comment>
    <comment ref="E11" authorId="0">
      <text>
        <r>
          <rPr>
            <b/>
            <sz val="8"/>
            <rFont val="Tahoma"/>
            <family val="0"/>
          </rPr>
          <t>Height from ground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Distance from axle centerline
</t>
        </r>
        <r>
          <rPr>
            <b/>
            <sz val="10"/>
            <rFont val="Tahoma"/>
            <family val="2"/>
          </rPr>
          <t>+</t>
        </r>
        <r>
          <rPr>
            <b/>
            <sz val="8"/>
            <rFont val="Tahoma"/>
            <family val="0"/>
          </rPr>
          <t xml:space="preserve"> to the left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Distance from axle centerline
</t>
        </r>
        <r>
          <rPr>
            <b/>
            <sz val="10"/>
            <rFont val="Tahoma"/>
            <family val="2"/>
          </rPr>
          <t>+</t>
        </r>
        <r>
          <rPr>
            <b/>
            <sz val="8"/>
            <rFont val="Tahoma"/>
            <family val="0"/>
          </rPr>
          <t xml:space="preserve"> to the left</t>
        </r>
      </text>
    </comment>
    <comment ref="C13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1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6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D16" authorId="0">
      <text>
        <r>
          <rPr>
            <b/>
            <sz val="8"/>
            <rFont val="Tahoma"/>
            <family val="0"/>
          </rPr>
          <t>Distance from axle centerline</t>
        </r>
      </text>
    </comment>
    <comment ref="E16" authorId="0">
      <text>
        <r>
          <rPr>
            <b/>
            <sz val="8"/>
            <rFont val="Tahoma"/>
            <family val="0"/>
          </rPr>
          <t>Height from ground</t>
        </r>
      </text>
    </comment>
    <comment ref="C1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D17" authorId="0">
      <text>
        <r>
          <rPr>
            <b/>
            <sz val="8"/>
            <rFont val="Tahoma"/>
            <family val="0"/>
          </rPr>
          <t>Distance from axle centerline</t>
        </r>
      </text>
    </comment>
    <comment ref="E17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Triaged</author>
    <author>Elaine.Wise</author>
  </authors>
  <commentList>
    <comment ref="J13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J12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K12" authorId="0">
      <text>
        <r>
          <rPr>
            <b/>
            <sz val="8"/>
            <rFont val="Tahoma"/>
            <family val="0"/>
          </rPr>
          <t>Height from ground</t>
        </r>
      </text>
    </comment>
    <comment ref="K13" authorId="0">
      <text>
        <r>
          <rPr>
            <b/>
            <sz val="8"/>
            <rFont val="Tahoma"/>
            <family val="0"/>
          </rPr>
          <t>Height from ground</t>
        </r>
      </text>
    </comment>
    <comment ref="E12" authorId="0">
      <text>
        <r>
          <rPr>
            <b/>
            <sz val="8"/>
            <rFont val="Tahoma"/>
            <family val="0"/>
          </rPr>
          <t>Height from ground</t>
        </r>
      </text>
    </comment>
    <comment ref="E13" authorId="0">
      <text>
        <r>
          <rPr>
            <b/>
            <sz val="8"/>
            <rFont val="Tahoma"/>
            <family val="0"/>
          </rPr>
          <t>Height from ground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Distance from axle centerline
</t>
        </r>
        <r>
          <rPr>
            <b/>
            <sz val="10"/>
            <rFont val="Tahoma"/>
            <family val="2"/>
          </rPr>
          <t>+</t>
        </r>
        <r>
          <rPr>
            <b/>
            <sz val="8"/>
            <rFont val="Tahoma"/>
            <family val="0"/>
          </rPr>
          <t xml:space="preserve"> to the left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Distance from axle centerline
</t>
        </r>
        <r>
          <rPr>
            <b/>
            <sz val="10"/>
            <rFont val="Tahoma"/>
            <family val="2"/>
          </rPr>
          <t>+</t>
        </r>
        <r>
          <rPr>
            <b/>
            <sz val="8"/>
            <rFont val="Tahoma"/>
            <family val="0"/>
          </rPr>
          <t xml:space="preserve"> to the left</t>
        </r>
      </text>
    </comment>
    <comment ref="I12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I13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2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3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6" authorId="1">
      <text>
        <r>
          <rPr>
            <b/>
            <sz val="8"/>
            <rFont val="Tahoma"/>
            <family val="0"/>
          </rPr>
          <t>Minor Dia. of Splines if no Neck-Down After Splines.</t>
        </r>
      </text>
    </comment>
    <comment ref="C2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D24" authorId="0">
      <text>
        <r>
          <rPr>
            <b/>
            <sz val="8"/>
            <rFont val="Tahoma"/>
            <family val="0"/>
          </rPr>
          <t>Distance from axle centerline</t>
        </r>
      </text>
    </comment>
    <comment ref="E24" authorId="0">
      <text>
        <r>
          <rPr>
            <b/>
            <sz val="8"/>
            <rFont val="Tahoma"/>
            <family val="0"/>
          </rPr>
          <t>Height from ground</t>
        </r>
      </text>
    </comment>
    <comment ref="C2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D25" authorId="0">
      <text>
        <r>
          <rPr>
            <b/>
            <sz val="8"/>
            <rFont val="Tahoma"/>
            <family val="0"/>
          </rPr>
          <t>Distance from axle centerline</t>
        </r>
      </text>
    </comment>
    <comment ref="E25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sharedStrings.xml><?xml version="1.0" encoding="utf-8"?>
<sst xmlns="http://schemas.openxmlformats.org/spreadsheetml/2006/main" count="318" uniqueCount="131">
  <si>
    <t>y</t>
  </si>
  <si>
    <t>x</t>
  </si>
  <si>
    <t>Wheelbase</t>
  </si>
  <si>
    <t>Tire Diameter</t>
  </si>
  <si>
    <t>z</t>
  </si>
  <si>
    <t>Lower Links</t>
  </si>
  <si>
    <t>%</t>
  </si>
  <si>
    <t>Anti-Squat</t>
  </si>
  <si>
    <t>Weight</t>
  </si>
  <si>
    <t>degrees ("-" = roll understeer; "+" = roll oversteer)</t>
  </si>
  <si>
    <t>in/in ("-" = roll understeer; "+" = roll oversteer)</t>
  </si>
  <si>
    <t>in/in</t>
  </si>
  <si>
    <t>in</t>
  </si>
  <si>
    <t>lb</t>
  </si>
  <si>
    <t>in^4</t>
  </si>
  <si>
    <t>Vector</t>
  </si>
  <si>
    <t>Length</t>
  </si>
  <si>
    <t>Unit Vector</t>
  </si>
  <si>
    <t>Intercept</t>
  </si>
  <si>
    <t>Roll Point</t>
  </si>
  <si>
    <t>Forces</t>
  </si>
  <si>
    <t>Link Force</t>
  </si>
  <si>
    <t>F.S. Yield</t>
  </si>
  <si>
    <t>F.S. Buckling</t>
  </si>
  <si>
    <t>F.S. Bending</t>
  </si>
  <si>
    <t>Rod End Rated Load</t>
  </si>
  <si>
    <t>lb ("+" because link is in tension)</t>
  </si>
  <si>
    <t>lb ("-" because link is in compression)</t>
  </si>
  <si>
    <t>F.S. Rod End</t>
  </si>
  <si>
    <t>Frame End</t>
  </si>
  <si>
    <t>Axle End</t>
  </si>
  <si>
    <t>(This is your link stretching)</t>
  </si>
  <si>
    <t>(This is your link compressing)</t>
  </si>
  <si>
    <t>(This is your link buckling under acceleration)</t>
  </si>
  <si>
    <t>(This is your rod end breaking)</t>
  </si>
  <si>
    <t>Area</t>
  </si>
  <si>
    <t>Pbending</t>
  </si>
  <si>
    <t>Pyield</t>
  </si>
  <si>
    <t>Pbuckling</t>
  </si>
  <si>
    <t>in^2</t>
  </si>
  <si>
    <t xml:space="preserve">FS Bending 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</si>
  <si>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</si>
  <si>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</si>
  <si>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</si>
  <si>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</si>
  <si>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</si>
  <si>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</si>
  <si>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</si>
  <si>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</si>
  <si>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</si>
  <si>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</si>
  <si>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</si>
  <si>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</si>
  <si>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</si>
  <si>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</si>
  <si>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</si>
  <si>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</si>
  <si>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</si>
  <si>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</si>
  <si>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</si>
  <si>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</si>
  <si>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</si>
  <si>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</si>
  <si>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</si>
  <si>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</si>
  <si>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</si>
  <si>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Version</t>
  </si>
  <si>
    <t>Changes / Enhancements</t>
  </si>
  <si>
    <t>Date</t>
  </si>
  <si>
    <t>Link Weight</t>
  </si>
  <si>
    <t>(This is your link buckling under braking)</t>
  </si>
  <si>
    <t>Outside Diameter</t>
  </si>
  <si>
    <t>Wall Thickness</t>
  </si>
  <si>
    <t>Moment of Inertia</t>
  </si>
  <si>
    <t>Modulus of Elasticity (psi)</t>
  </si>
  <si>
    <t>(This calculation is somewhat irrelevant for an UPPER link)</t>
  </si>
  <si>
    <t>Dan Barcroft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</si>
  <si>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</si>
  <si>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</si>
  <si>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</si>
  <si>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</si>
  <si>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</si>
  <si>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</si>
  <si>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</si>
  <si>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</si>
  <si>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CG Line</t>
  </si>
  <si>
    <t>100% AS Line</t>
  </si>
  <si>
    <t>Side View</t>
  </si>
  <si>
    <t>Top View</t>
  </si>
  <si>
    <t>Roll Axis</t>
  </si>
  <si>
    <t>angle</t>
  </si>
  <si>
    <t>Offset Up</t>
  </si>
  <si>
    <t>y'</t>
  </si>
  <si>
    <t>Tire Rolling Radius</t>
  </si>
  <si>
    <t>Tire Width</t>
  </si>
  <si>
    <t>in         Specs-&gt;</t>
  </si>
  <si>
    <t>Yield Strength (psi)</t>
  </si>
  <si>
    <t>Density (lb/in^3)</t>
  </si>
  <si>
    <t>Geometry Summary:</t>
  </si>
  <si>
    <t>in                   Sprung Mass CG 'X'</t>
  </si>
  <si>
    <t>Horizontal Slope</t>
  </si>
  <si>
    <t>Vertical Slope</t>
  </si>
  <si>
    <t>in                   Sprung Mass CG 'Y'</t>
  </si>
  <si>
    <t>in                   Sprung Mass CG 'Z'</t>
  </si>
  <si>
    <t>Axle Shear Strength</t>
  </si>
  <si>
    <t>Axle Shaft Min. Dia.</t>
  </si>
  <si>
    <t>psi</t>
  </si>
  <si>
    <t>Upper Link</t>
  </si>
  <si>
    <t>3 Link Calculator v1.0  -  Vector-Based with Graphical Worksheet Add-In</t>
  </si>
  <si>
    <t>Pannhard Bar</t>
  </si>
  <si>
    <t>1.0a</t>
  </si>
  <si>
    <t>2004.06.16</t>
  </si>
  <si>
    <t>(This is your link bending  w/ 1/2 the vehicle weight on it)</t>
  </si>
  <si>
    <t>Rear Axle Ratio</t>
  </si>
  <si>
    <t>Rear Track Width</t>
  </si>
  <si>
    <t>Created 2004.06.17</t>
  </si>
  <si>
    <t>= Referenced to other cell</t>
  </si>
  <si>
    <t>Sprung Mass CG 'Z'</t>
  </si>
  <si>
    <t>degrees ( - roll understeer, + roll oversteer)</t>
  </si>
  <si>
    <t>n/a</t>
  </si>
  <si>
    <t>Steel 1018</t>
  </si>
  <si>
    <t>Steel 4130N</t>
  </si>
  <si>
    <t>Steel 4130T</t>
  </si>
  <si>
    <t>Steel 4340N</t>
  </si>
  <si>
    <t>Steel 4340T</t>
  </si>
  <si>
    <t>Note: All materials must be in alphabetical order</t>
  </si>
  <si>
    <t>1.0b</t>
  </si>
  <si>
    <t>Updated the Material page for less clutter.</t>
  </si>
  <si>
    <t>Fixed some cells that were not linked to the Main page.</t>
  </si>
  <si>
    <t>2005.11.18</t>
  </si>
  <si>
    <t>Revision History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</si>
</sst>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9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Verdana"/>
      <family val="2"/>
    </font>
    <font>
      <sz val="17.5"/>
      <name val="Arial"/>
      <family val="0"/>
    </font>
    <font>
      <sz val="9.25"/>
      <name val="Arial"/>
      <family val="2"/>
    </font>
    <font>
      <b/>
      <sz val="10"/>
      <name val="Tahoma"/>
      <family val="2"/>
    </font>
    <font>
      <b/>
      <u val="single"/>
      <sz val="12"/>
      <color indexed="9"/>
      <name val="Arial"/>
      <family val="2"/>
    </font>
    <font>
      <sz val="12"/>
      <name val="Arial"/>
      <family val="0"/>
    </font>
    <font>
      <sz val="14.75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 quotePrefix="1">
      <alignment/>
      <protection/>
    </xf>
    <xf numFmtId="4" fontId="0" fillId="0" borderId="0" xfId="0" applyNumberFormat="1" applyFont="1" applyAlignment="1" applyProtection="1" quotePrefix="1">
      <alignment horizontal="left" wrapText="1"/>
      <protection/>
    </xf>
    <xf numFmtId="4" fontId="0" fillId="0" borderId="0" xfId="0" applyNumberFormat="1" applyFont="1" applyAlignment="1" applyProtection="1">
      <alignment/>
      <protection/>
    </xf>
    <xf numFmtId="171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4" fontId="0" fillId="0" borderId="2" xfId="0" applyNumberFormat="1" applyFont="1" applyBorder="1" applyAlignment="1" applyProtection="1">
      <alignment horizontal="right"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2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7" xfId="0" applyFont="1" applyBorder="1" applyAlignment="1">
      <alignment/>
    </xf>
    <xf numFmtId="0" fontId="7" fillId="0" borderId="0" xfId="0" applyFont="1" applyAlignment="1">
      <alignment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Fill="1" applyBorder="1" applyAlignment="1" applyProtection="1">
      <alignment horizontal="left"/>
      <protection/>
    </xf>
    <xf numFmtId="4" fontId="0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Border="1" applyAlignment="1" applyProtection="1">
      <alignment horizontal="center"/>
      <protection/>
    </xf>
    <xf numFmtId="0" fontId="2" fillId="0" borderId="0" xfId="0" applyFont="1" applyAlignment="1" quotePrefix="1">
      <alignment horizontal="left"/>
    </xf>
    <xf numFmtId="0" fontId="0" fillId="0" borderId="3" xfId="0" applyNumberFormat="1" applyFont="1" applyBorder="1" applyAlignment="1" applyProtection="1">
      <alignment horizontal="right"/>
      <protection/>
    </xf>
    <xf numFmtId="4" fontId="0" fillId="2" borderId="1" xfId="0" applyNumberFormat="1" applyFont="1" applyFill="1" applyBorder="1" applyAlignment="1" applyProtection="1">
      <alignment/>
      <protection locked="0"/>
    </xf>
    <xf numFmtId="0" fontId="10" fillId="3" borderId="0" xfId="0" applyFont="1" applyFill="1" applyAlignment="1">
      <alignment horizontal="left" wrapText="1"/>
    </xf>
    <xf numFmtId="4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4" fontId="3" fillId="0" borderId="2" xfId="0" applyNumberFormat="1" applyFont="1" applyBorder="1" applyAlignment="1" applyProtection="1">
      <alignment horizontal="left"/>
      <protection/>
    </xf>
    <xf numFmtId="4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Border="1" applyAlignment="1" applyProtection="1">
      <alignment horizontal="center"/>
      <protection/>
    </xf>
    <xf numFmtId="4" fontId="0" fillId="0" borderId="9" xfId="0" applyNumberFormat="1" applyFont="1" applyBorder="1" applyAlignment="1" applyProtection="1">
      <alignment horizontal="left"/>
      <protection/>
    </xf>
    <xf numFmtId="4" fontId="0" fillId="0" borderId="10" xfId="0" applyNumberFormat="1" applyFont="1" applyBorder="1" applyAlignment="1" applyProtection="1">
      <alignment horizontal="right"/>
      <protection/>
    </xf>
    <xf numFmtId="166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 horizontal="left"/>
      <protection/>
    </xf>
    <xf numFmtId="166" fontId="0" fillId="0" borderId="11" xfId="0" applyNumberFormat="1" applyFont="1" applyFill="1" applyBorder="1" applyAlignment="1" applyProtection="1">
      <alignment horizontal="left"/>
      <protection/>
    </xf>
    <xf numFmtId="4" fontId="0" fillId="0" borderId="5" xfId="0" applyNumberFormat="1" applyFont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166" fontId="0" fillId="0" borderId="5" xfId="0" applyNumberFormat="1" applyFont="1" applyFill="1" applyBorder="1" applyAlignment="1" applyProtection="1">
      <alignment horizontal="left"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Border="1" applyAlignment="1" applyProtection="1">
      <alignment horizontal="left"/>
      <protection/>
    </xf>
    <xf numFmtId="170" fontId="0" fillId="0" borderId="2" xfId="0" applyNumberFormat="1" applyFont="1" applyFill="1" applyBorder="1" applyAlignment="1" applyProtection="1">
      <alignment/>
      <protection/>
    </xf>
    <xf numFmtId="170" fontId="0" fillId="0" borderId="1" xfId="0" applyNumberFormat="1" applyFont="1" applyFill="1" applyBorder="1" applyAlignment="1" applyProtection="1">
      <alignment/>
      <protection/>
    </xf>
    <xf numFmtId="4" fontId="0" fillId="4" borderId="1" xfId="0" applyNumberFormat="1" applyFont="1" applyFill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 quotePrefix="1">
      <alignment horizontal="left"/>
      <protection/>
    </xf>
    <xf numFmtId="4" fontId="14" fillId="5" borderId="0" xfId="0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4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9" fillId="6" borderId="1" xfId="0" applyNumberFormat="1" applyFont="1" applyFill="1" applyBorder="1" applyAlignment="1" applyProtection="1">
      <alignment horizontal="right"/>
      <protection/>
    </xf>
    <xf numFmtId="4" fontId="14" fillId="7" borderId="1" xfId="0" applyNumberFormat="1" applyFont="1" applyFill="1" applyBorder="1" applyAlignment="1" applyProtection="1">
      <alignment horizontal="right"/>
      <protection/>
    </xf>
    <xf numFmtId="4" fontId="14" fillId="5" borderId="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166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right"/>
      <protection/>
    </xf>
    <xf numFmtId="4" fontId="14" fillId="7" borderId="0" xfId="0" applyNumberFormat="1" applyFont="1" applyFill="1" applyBorder="1" applyAlignment="1" applyProtection="1">
      <alignment horizontal="right"/>
      <protection/>
    </xf>
    <xf numFmtId="4" fontId="9" fillId="6" borderId="0" xfId="0" applyNumberFormat="1" applyFont="1" applyFill="1" applyBorder="1" applyAlignment="1" applyProtection="1">
      <alignment horizontal="right"/>
      <protection/>
    </xf>
    <xf numFmtId="4" fontId="0" fillId="8" borderId="0" xfId="0" applyNumberFormat="1" applyFont="1" applyFill="1" applyBorder="1" applyAlignment="1" applyProtection="1">
      <alignment horizontal="right"/>
      <protection/>
    </xf>
    <xf numFmtId="4" fontId="17" fillId="9" borderId="0" xfId="0" applyNumberFormat="1" applyFont="1" applyFill="1" applyBorder="1" applyAlignment="1" applyProtection="1">
      <alignment horizontal="right"/>
      <protection/>
    </xf>
    <xf numFmtId="4" fontId="0" fillId="10" borderId="0" xfId="0" applyNumberFormat="1" applyFont="1" applyFill="1" applyBorder="1" applyAlignment="1" applyProtection="1">
      <alignment horizontal="right"/>
      <protection/>
    </xf>
    <xf numFmtId="4" fontId="0" fillId="4" borderId="1" xfId="0" applyNumberFormat="1" applyFont="1" applyFill="1" applyBorder="1" applyAlignment="1" applyProtection="1">
      <alignment horizontal="right"/>
      <protection/>
    </xf>
    <xf numFmtId="4" fontId="0" fillId="4" borderId="1" xfId="0" applyNumberFormat="1" applyFont="1" applyFill="1" applyBorder="1" applyAlignment="1" applyProtection="1">
      <alignment horizontal="center"/>
      <protection/>
    </xf>
    <xf numFmtId="4" fontId="0" fillId="4" borderId="13" xfId="0" applyNumberFormat="1" applyFont="1" applyFill="1" applyBorder="1" applyAlignment="1" applyProtection="1">
      <alignment horizontal="center"/>
      <protection/>
    </xf>
    <xf numFmtId="171" fontId="0" fillId="4" borderId="1" xfId="0" applyNumberFormat="1" applyFont="1" applyFill="1" applyBorder="1" applyAlignment="1" applyProtection="1">
      <alignment horizontal="right"/>
      <protection/>
    </xf>
    <xf numFmtId="3" fontId="0" fillId="4" borderId="1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ont="1" applyFill="1" applyAlignment="1" applyProtection="1">
      <alignment/>
      <protection/>
    </xf>
    <xf numFmtId="4" fontId="3" fillId="3" borderId="0" xfId="0" applyNumberFormat="1" applyFont="1" applyFill="1" applyBorder="1" applyAlignment="1" applyProtection="1">
      <alignment horizontal="left"/>
      <protection/>
    </xf>
    <xf numFmtId="3" fontId="0" fillId="3" borderId="2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/>
      <protection/>
    </xf>
    <xf numFmtId="4" fontId="0" fillId="3" borderId="2" xfId="0" applyNumberFormat="1" applyFont="1" applyFill="1" applyBorder="1" applyAlignment="1" applyProtection="1">
      <alignment/>
      <protection/>
    </xf>
    <xf numFmtId="166" fontId="0" fillId="3" borderId="2" xfId="0" applyNumberFormat="1" applyFont="1" applyFill="1" applyBorder="1" applyAlignment="1" applyProtection="1">
      <alignment horizontal="left"/>
      <protection/>
    </xf>
    <xf numFmtId="166" fontId="0" fillId="3" borderId="2" xfId="0" applyNumberFormat="1" applyFont="1" applyFill="1" applyBorder="1" applyAlignment="1" applyProtection="1">
      <alignment horizontal="right"/>
      <protection/>
    </xf>
    <xf numFmtId="3" fontId="0" fillId="3" borderId="2" xfId="0" applyNumberFormat="1" applyFont="1" applyFill="1" applyBorder="1" applyAlignment="1" applyProtection="1">
      <alignment/>
      <protection/>
    </xf>
    <xf numFmtId="166" fontId="0" fillId="3" borderId="0" xfId="0" applyNumberFormat="1" applyFont="1" applyFill="1" applyBorder="1" applyAlignment="1" applyProtection="1">
      <alignment horizontal="left"/>
      <protection/>
    </xf>
    <xf numFmtId="4" fontId="0" fillId="3" borderId="0" xfId="0" applyNumberFormat="1" applyFont="1" applyFill="1" applyBorder="1" applyAlignment="1" applyProtection="1">
      <alignment/>
      <protection/>
    </xf>
    <xf numFmtId="4" fontId="0" fillId="3" borderId="0" xfId="0" applyNumberFormat="1" applyFont="1" applyFill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left"/>
      <protection/>
    </xf>
    <xf numFmtId="4" fontId="0" fillId="3" borderId="3" xfId="0" applyNumberFormat="1" applyFont="1" applyFill="1" applyBorder="1" applyAlignment="1" applyProtection="1">
      <alignment horizontal="right"/>
      <protection/>
    </xf>
    <xf numFmtId="166" fontId="0" fillId="3" borderId="3" xfId="0" applyNumberFormat="1" applyFont="1" applyFill="1" applyBorder="1" applyAlignment="1" applyProtection="1">
      <alignment horizontal="left"/>
      <protection/>
    </xf>
    <xf numFmtId="4" fontId="0" fillId="3" borderId="5" xfId="0" applyNumberFormat="1" applyFont="1" applyFill="1" applyBorder="1" applyAlignment="1" applyProtection="1">
      <alignment horizontal="right"/>
      <protection/>
    </xf>
    <xf numFmtId="3" fontId="0" fillId="3" borderId="1" xfId="0" applyNumberFormat="1" applyFont="1" applyFill="1" applyBorder="1" applyAlignment="1" applyProtection="1">
      <alignment/>
      <protection/>
    </xf>
    <xf numFmtId="4" fontId="0" fillId="3" borderId="0" xfId="0" applyNumberFormat="1" applyFont="1" applyFill="1" applyBorder="1" applyAlignment="1" applyProtection="1" quotePrefix="1">
      <alignment horizontal="right"/>
      <protection/>
    </xf>
    <xf numFmtId="4" fontId="0" fillId="3" borderId="0" xfId="0" applyNumberFormat="1" applyFont="1" applyFill="1" applyBorder="1" applyAlignment="1" applyProtection="1">
      <alignment/>
      <protection/>
    </xf>
    <xf numFmtId="174" fontId="0" fillId="3" borderId="1" xfId="0" applyNumberFormat="1" applyFont="1" applyFill="1" applyBorder="1" applyAlignment="1" applyProtection="1">
      <alignment/>
      <protection/>
    </xf>
    <xf numFmtId="166" fontId="0" fillId="3" borderId="5" xfId="0" applyNumberFormat="1" applyFont="1" applyFill="1" applyBorder="1" applyAlignment="1" applyProtection="1">
      <alignment horizontal="right"/>
      <protection/>
    </xf>
    <xf numFmtId="170" fontId="0" fillId="3" borderId="0" xfId="0" applyNumberFormat="1" applyFont="1" applyFill="1" applyBorder="1" applyAlignment="1" applyProtection="1">
      <alignment/>
      <protection/>
    </xf>
    <xf numFmtId="166" fontId="0" fillId="3" borderId="0" xfId="0" applyNumberFormat="1" applyFont="1" applyFill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4" fontId="0" fillId="3" borderId="1" xfId="0" applyNumberFormat="1" applyFont="1" applyFill="1" applyBorder="1" applyAlignment="1" applyProtection="1">
      <alignment/>
      <protection/>
    </xf>
    <xf numFmtId="4" fontId="0" fillId="3" borderId="1" xfId="0" applyNumberFormat="1" applyFont="1" applyFill="1" applyBorder="1" applyAlignment="1" applyProtection="1">
      <alignment horizontal="right"/>
      <protection/>
    </xf>
    <xf numFmtId="4" fontId="4" fillId="3" borderId="5" xfId="0" applyNumberFormat="1" applyFont="1" applyFill="1" applyBorder="1" applyAlignment="1" applyProtection="1">
      <alignment horizontal="left"/>
      <protection/>
    </xf>
    <xf numFmtId="4" fontId="4" fillId="3" borderId="0" xfId="0" applyNumberFormat="1" applyFont="1" applyFill="1" applyBorder="1" applyAlignment="1" applyProtection="1">
      <alignment horizontal="left"/>
      <protection/>
    </xf>
    <xf numFmtId="4" fontId="4" fillId="3" borderId="3" xfId="0" applyNumberFormat="1" applyFont="1" applyFill="1" applyBorder="1" applyAlignment="1" applyProtection="1">
      <alignment horizontal="left"/>
      <protection/>
    </xf>
    <xf numFmtId="4" fontId="0" fillId="3" borderId="6" xfId="0" applyNumberFormat="1" applyFont="1" applyFill="1" applyBorder="1" applyAlignment="1" applyProtection="1">
      <alignment horizontal="right"/>
      <protection/>
    </xf>
    <xf numFmtId="4" fontId="4" fillId="3" borderId="6" xfId="0" applyNumberFormat="1" applyFont="1" applyFill="1" applyBorder="1" applyAlignment="1" applyProtection="1">
      <alignment horizontal="left"/>
      <protection/>
    </xf>
    <xf numFmtId="4" fontId="4" fillId="3" borderId="2" xfId="0" applyNumberFormat="1" applyFont="1" applyFill="1" applyBorder="1" applyAlignment="1" applyProtection="1">
      <alignment horizontal="left"/>
      <protection/>
    </xf>
    <xf numFmtId="4" fontId="0" fillId="3" borderId="4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right"/>
      <protection/>
    </xf>
    <xf numFmtId="4" fontId="4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4" fontId="0" fillId="3" borderId="3" xfId="0" applyNumberFormat="1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4" fontId="0" fillId="3" borderId="1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7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Plot!$I$53</c:f>
              <c:strCache>
                <c:ptCount val="1"/>
                <c:pt idx="0">
                  <c:v>Upper Link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Plot!$I$55:$I$56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Plot!$K$55:$K$56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Plot!$I$57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Plot!$I$59:$I$60</c:f>
              <c:numCache>
                <c:ptCount val="2"/>
                <c:pt idx="0">
                  <c:v>23.98</c:v>
                </c:pt>
                <c:pt idx="1">
                  <c:v>-2</c:v>
                </c:pt>
              </c:numCache>
            </c:numRef>
          </c:xVal>
          <c:yVal>
            <c:numRef>
              <c:f>Plot!$K$59:$K$60</c:f>
              <c:numCache>
                <c:ptCount val="2"/>
                <c:pt idx="0">
                  <c:v>84</c:v>
                </c:pt>
                <c:pt idx="1">
                  <c:v>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Plot!$I$57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Plot!$I$61:$I$62</c:f>
              <c:numCache>
                <c:ptCount val="2"/>
                <c:pt idx="0">
                  <c:v>23.98</c:v>
                </c:pt>
                <c:pt idx="1">
                  <c:v>-2</c:v>
                </c:pt>
              </c:numCache>
            </c:numRef>
          </c:xVal>
          <c:yVal>
            <c:numRef>
              <c:f>Plot!$K$61:$K$62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Plot!$I$63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Plot!$I$65:$I$67</c:f>
              <c:numCache>
                <c:ptCount val="3"/>
                <c:pt idx="0">
                  <c:v>23.98</c:v>
                </c:pt>
                <c:pt idx="1">
                  <c:v>1000000</c:v>
                </c:pt>
                <c:pt idx="2">
                  <c:v>23.98</c:v>
                </c:pt>
              </c:numCache>
            </c:numRef>
          </c:xVal>
          <c:yVal>
            <c:numRef>
              <c:f>Plot!$K$65:$K$67</c:f>
              <c:numCache>
                <c:ptCount val="3"/>
                <c:pt idx="0">
                  <c:v>84</c:v>
                </c:pt>
                <c:pt idx="1">
                  <c:v>60</c:v>
                </c:pt>
                <c:pt idx="2">
                  <c:v>36</c:v>
                </c:pt>
              </c:numCache>
            </c:numRef>
          </c:yVal>
          <c:smooth val="0"/>
        </c:ser>
        <c:ser>
          <c:idx val="6"/>
          <c:order val="4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Plot!$B$53:$B$77</c:f>
              <c:numCache>
                <c:ptCount val="25"/>
                <c:pt idx="0">
                  <c:v>110</c:v>
                </c:pt>
                <c:pt idx="1">
                  <c:v>106.63535241366723</c:v>
                </c:pt>
                <c:pt idx="2">
                  <c:v>103.5</c:v>
                </c:pt>
                <c:pt idx="3">
                  <c:v>100.80761184457488</c:v>
                </c:pt>
                <c:pt idx="4">
                  <c:v>98.7416697508023</c:v>
                </c:pt>
                <c:pt idx="5">
                  <c:v>97.44296425824211</c:v>
                </c:pt>
                <c:pt idx="6">
                  <c:v>97</c:v>
                </c:pt>
                <c:pt idx="7">
                  <c:v>97.44296425824211</c:v>
                </c:pt>
                <c:pt idx="8">
                  <c:v>98.7416697508023</c:v>
                </c:pt>
                <c:pt idx="9">
                  <c:v>100.80761184457488</c:v>
                </c:pt>
                <c:pt idx="10">
                  <c:v>103.5</c:v>
                </c:pt>
                <c:pt idx="11">
                  <c:v>106.63535241366722</c:v>
                </c:pt>
                <c:pt idx="12">
                  <c:v>110</c:v>
                </c:pt>
                <c:pt idx="13">
                  <c:v>113.36464758633277</c:v>
                </c:pt>
                <c:pt idx="14">
                  <c:v>116.5</c:v>
                </c:pt>
                <c:pt idx="15">
                  <c:v>119.19238815542512</c:v>
                </c:pt>
                <c:pt idx="16">
                  <c:v>121.2583302491977</c:v>
                </c:pt>
                <c:pt idx="17">
                  <c:v>122.55703574175789</c:v>
                </c:pt>
                <c:pt idx="18">
                  <c:v>123</c:v>
                </c:pt>
                <c:pt idx="19">
                  <c:v>122.55703574175789</c:v>
                </c:pt>
                <c:pt idx="20">
                  <c:v>121.2583302491977</c:v>
                </c:pt>
                <c:pt idx="21">
                  <c:v>119.19238815542512</c:v>
                </c:pt>
                <c:pt idx="22">
                  <c:v>116.5</c:v>
                </c:pt>
                <c:pt idx="23">
                  <c:v>113.36464758633277</c:v>
                </c:pt>
                <c:pt idx="24">
                  <c:v>110</c:v>
                </c:pt>
              </c:numCache>
            </c:numRef>
          </c:xVal>
          <c:yVal>
            <c:numRef>
              <c:f>Plot!$C$53:$C$77</c:f>
              <c:numCache>
                <c:ptCount val="25"/>
                <c:pt idx="0">
                  <c:v>0</c:v>
                </c:pt>
                <c:pt idx="1">
                  <c:v>0.3137049865282453</c:v>
                </c:pt>
                <c:pt idx="2">
                  <c:v>1.4916697508022967</c:v>
                </c:pt>
                <c:pt idx="3">
                  <c:v>3.5576118445748808</c:v>
                </c:pt>
                <c:pt idx="4">
                  <c:v>6.249999999999998</c:v>
                </c:pt>
                <c:pt idx="5">
                  <c:v>9.385352413667231</c:v>
                </c:pt>
                <c:pt idx="6">
                  <c:v>12.75</c:v>
                </c:pt>
                <c:pt idx="7">
                  <c:v>16.114647586332772</c:v>
                </c:pt>
                <c:pt idx="8">
                  <c:v>19.249999999999996</c:v>
                </c:pt>
                <c:pt idx="9">
                  <c:v>21.942388155425117</c:v>
                </c:pt>
                <c:pt idx="10">
                  <c:v>24.008330249197705</c:v>
                </c:pt>
                <c:pt idx="11">
                  <c:v>25.307035741757886</c:v>
                </c:pt>
                <c:pt idx="12">
                  <c:v>25.75</c:v>
                </c:pt>
                <c:pt idx="13">
                  <c:v>25.307035741757886</c:v>
                </c:pt>
                <c:pt idx="14">
                  <c:v>24.0083302491977</c:v>
                </c:pt>
                <c:pt idx="15">
                  <c:v>21.94238815542512</c:v>
                </c:pt>
                <c:pt idx="16">
                  <c:v>19.250000000000007</c:v>
                </c:pt>
                <c:pt idx="17">
                  <c:v>16.11464758633277</c:v>
                </c:pt>
                <c:pt idx="18">
                  <c:v>12.750000000000002</c:v>
                </c:pt>
                <c:pt idx="19">
                  <c:v>9.385352413667237</c:v>
                </c:pt>
                <c:pt idx="20">
                  <c:v>6.249999999999998</c:v>
                </c:pt>
                <c:pt idx="21">
                  <c:v>3.5576118445748843</c:v>
                </c:pt>
                <c:pt idx="22">
                  <c:v>1.491669750802302</c:v>
                </c:pt>
                <c:pt idx="23">
                  <c:v>0.3137049865282453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Plot!$D$51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Plot!$D$53:$D$77</c:f>
              <c:numCache>
                <c:ptCount val="25"/>
                <c:pt idx="0">
                  <c:v>0</c:v>
                </c:pt>
                <c:pt idx="1">
                  <c:v>3.3646475863327696</c:v>
                </c:pt>
                <c:pt idx="2">
                  <c:v>6.499999999999999</c:v>
                </c:pt>
                <c:pt idx="3">
                  <c:v>9.192388155425117</c:v>
                </c:pt>
                <c:pt idx="4">
                  <c:v>11.258330249197702</c:v>
                </c:pt>
                <c:pt idx="5">
                  <c:v>12.557035741757888</c:v>
                </c:pt>
                <c:pt idx="6">
                  <c:v>13</c:v>
                </c:pt>
                <c:pt idx="7">
                  <c:v>12.557035741757888</c:v>
                </c:pt>
                <c:pt idx="8">
                  <c:v>11.258330249197703</c:v>
                </c:pt>
                <c:pt idx="9">
                  <c:v>9.19238815542512</c:v>
                </c:pt>
                <c:pt idx="10">
                  <c:v>6.499999999999999</c:v>
                </c:pt>
                <c:pt idx="11">
                  <c:v>3.364647586332773</c:v>
                </c:pt>
                <c:pt idx="12">
                  <c:v>1.592692991381206E-15</c:v>
                </c:pt>
                <c:pt idx="13">
                  <c:v>-3.3646475863327705</c:v>
                </c:pt>
                <c:pt idx="14">
                  <c:v>-6.500000000000002</c:v>
                </c:pt>
                <c:pt idx="15">
                  <c:v>-9.192388155425117</c:v>
                </c:pt>
                <c:pt idx="16">
                  <c:v>-11.258330249197698</c:v>
                </c:pt>
                <c:pt idx="17">
                  <c:v>-12.557035741757888</c:v>
                </c:pt>
                <c:pt idx="18">
                  <c:v>-13</c:v>
                </c:pt>
                <c:pt idx="19">
                  <c:v>-12.55703574175789</c:v>
                </c:pt>
                <c:pt idx="20">
                  <c:v>-11.258330249197702</c:v>
                </c:pt>
                <c:pt idx="21">
                  <c:v>-9.19238815542512</c:v>
                </c:pt>
                <c:pt idx="22">
                  <c:v>-6.500000000000005</c:v>
                </c:pt>
                <c:pt idx="23">
                  <c:v>-3.3646475863327687</c:v>
                </c:pt>
                <c:pt idx="24">
                  <c:v>-3.185385982762412E-15</c:v>
                </c:pt>
              </c:numCache>
            </c:numRef>
          </c:xVal>
          <c:yVal>
            <c:numRef>
              <c:f>Plot!$E$53:$E$77</c:f>
              <c:numCache>
                <c:ptCount val="25"/>
                <c:pt idx="0">
                  <c:v>0</c:v>
                </c:pt>
                <c:pt idx="1">
                  <c:v>0.3137049865282453</c:v>
                </c:pt>
                <c:pt idx="2">
                  <c:v>1.4916697508022967</c:v>
                </c:pt>
                <c:pt idx="3">
                  <c:v>3.5576118445748808</c:v>
                </c:pt>
                <c:pt idx="4">
                  <c:v>6.249999999999998</c:v>
                </c:pt>
                <c:pt idx="5">
                  <c:v>9.385352413667231</c:v>
                </c:pt>
                <c:pt idx="6">
                  <c:v>12.75</c:v>
                </c:pt>
                <c:pt idx="7">
                  <c:v>16.114647586332772</c:v>
                </c:pt>
                <c:pt idx="8">
                  <c:v>19.249999999999996</c:v>
                </c:pt>
                <c:pt idx="9">
                  <c:v>21.942388155425117</c:v>
                </c:pt>
                <c:pt idx="10">
                  <c:v>24.008330249197705</c:v>
                </c:pt>
                <c:pt idx="11">
                  <c:v>25.307035741757886</c:v>
                </c:pt>
                <c:pt idx="12">
                  <c:v>25.75</c:v>
                </c:pt>
                <c:pt idx="13">
                  <c:v>25.307035741757886</c:v>
                </c:pt>
                <c:pt idx="14">
                  <c:v>24.0083302491977</c:v>
                </c:pt>
                <c:pt idx="15">
                  <c:v>21.94238815542512</c:v>
                </c:pt>
                <c:pt idx="16">
                  <c:v>19.250000000000007</c:v>
                </c:pt>
                <c:pt idx="17">
                  <c:v>16.11464758633277</c:v>
                </c:pt>
                <c:pt idx="18">
                  <c:v>12.750000000000002</c:v>
                </c:pt>
                <c:pt idx="19">
                  <c:v>9.385352413667237</c:v>
                </c:pt>
                <c:pt idx="20">
                  <c:v>6.249999999999998</c:v>
                </c:pt>
                <c:pt idx="21">
                  <c:v>3.5576118445748843</c:v>
                </c:pt>
                <c:pt idx="22">
                  <c:v>1.491669750802302</c:v>
                </c:pt>
                <c:pt idx="23">
                  <c:v>0.3137049865282453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Calculations!$B$11</c:f>
              <c:strCache>
                <c:ptCount val="1"/>
                <c:pt idx="0">
                  <c:v>Upper Link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Calculations!$C$12:$C$13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Calculations!$E$12:$E$13</c:f>
              <c:numCache>
                <c:ptCount val="2"/>
                <c:pt idx="0">
                  <c:v>15.75</c:v>
                </c:pt>
                <c:pt idx="1">
                  <c:v>18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Calculations!$H$11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Calculations!$I$12:$I$13</c:f>
              <c:numCache>
                <c:ptCount val="2"/>
                <c:pt idx="0">
                  <c:v>23.98</c:v>
                </c:pt>
                <c:pt idx="1">
                  <c:v>-2</c:v>
                </c:pt>
              </c:numCache>
            </c:numRef>
          </c:xVal>
          <c:yVal>
            <c:numRef>
              <c:f>Calculations!$K$12:$K$13</c:f>
              <c:numCach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Plot!$F$51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Plot!$F$53:$F$54</c:f>
              <c:numCache>
                <c:ptCount val="2"/>
                <c:pt idx="0">
                  <c:v>20</c:v>
                </c:pt>
                <c:pt idx="1">
                  <c:v>93.33333333333334</c:v>
                </c:pt>
              </c:numCache>
            </c:numRef>
          </c:xVal>
          <c:yVal>
            <c:numRef>
              <c:f>Plot!$G$53:$G$54</c:f>
              <c:numCache>
                <c:ptCount val="2"/>
                <c:pt idx="0">
                  <c:v>15.75</c:v>
                </c:pt>
                <c:pt idx="1">
                  <c:v>7.499999999999998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Plot!$F$55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Plot!$F$57:$F$58</c:f>
              <c:numCache>
                <c:ptCount val="2"/>
                <c:pt idx="0">
                  <c:v>23.98</c:v>
                </c:pt>
                <c:pt idx="1">
                  <c:v>93.33333333333334</c:v>
                </c:pt>
              </c:numCache>
            </c:numRef>
          </c:xVal>
          <c:yVal>
            <c:numRef>
              <c:f>Plot!$G$57:$G$58</c:f>
              <c:numCache>
                <c:ptCount val="2"/>
                <c:pt idx="0">
                  <c:v>7.5</c:v>
                </c:pt>
                <c:pt idx="1">
                  <c:v>7.499999999999998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Plot!$F$59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Plot!$F$61:$F$63</c:f>
              <c:numCache>
                <c:ptCount val="3"/>
                <c:pt idx="0">
                  <c:v>0</c:v>
                </c:pt>
                <c:pt idx="1">
                  <c:v>93.33333333333334</c:v>
                </c:pt>
                <c:pt idx="2">
                  <c:v>110</c:v>
                </c:pt>
              </c:numCache>
            </c:numRef>
          </c:xVal>
          <c:yVal>
            <c:numRef>
              <c:f>Plot!$G$61:$G$63</c:f>
              <c:numCache>
                <c:ptCount val="3"/>
                <c:pt idx="0">
                  <c:v>0</c:v>
                </c:pt>
                <c:pt idx="1">
                  <c:v>7.499999999999998</c:v>
                </c:pt>
                <c:pt idx="2">
                  <c:v>8.83928571428571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Plot!$F$64</c:f>
              <c:strCache>
                <c:ptCount val="1"/>
                <c:pt idx="0">
                  <c:v>CG Line</c:v>
                </c:pt>
              </c:strCache>
            </c:strRef>
          </c:tx>
          <c:spPr>
            <a:ln w="3175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Plot!$F$66:$F$67</c:f>
              <c:numCache>
                <c:ptCount val="2"/>
                <c:pt idx="0">
                  <c:v>-20</c:v>
                </c:pt>
                <c:pt idx="1">
                  <c:v>140</c:v>
                </c:pt>
              </c:numCache>
            </c:numRef>
          </c:xVal>
          <c:yVal>
            <c:numRef>
              <c:f>Plot!$G$66:$G$67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Plot!$F$68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Plot!$F$70:$F$71</c:f>
              <c:numCache>
                <c:ptCount val="2"/>
                <c:pt idx="0">
                  <c:v>0</c:v>
                </c:pt>
                <c:pt idx="1">
                  <c:v>110</c:v>
                </c:pt>
              </c:numCache>
            </c:numRef>
          </c:xVal>
          <c:yVal>
            <c:numRef>
              <c:f>Plot!$G$70:$G$71</c:f>
              <c:numCache>
                <c:ptCount val="2"/>
                <c:pt idx="0">
                  <c:v>0</c:v>
                </c:pt>
                <c:pt idx="1">
                  <c:v>22</c:v>
                </c:pt>
              </c:numCache>
            </c:numRef>
          </c:yVal>
          <c:smooth val="0"/>
        </c:ser>
        <c:ser>
          <c:idx val="15"/>
          <c:order val="13"/>
          <c:tx>
            <c:strRef>
              <c:f>Plot!$F$72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Plot!$F$74:$F$76</c:f>
              <c:numCache>
                <c:ptCount val="3"/>
                <c:pt idx="0">
                  <c:v>-8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Plot!$G$74:$G$76</c:f>
              <c:numCach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yVal>
          <c:smooth val="0"/>
        </c:ser>
        <c:ser>
          <c:idx val="16"/>
          <c:order val="14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Plot!$F$75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Plot!$G$75</c:f>
              <c:numCache>
                <c:ptCount val="1"/>
                <c:pt idx="0">
                  <c:v>13</c:v>
                </c:pt>
              </c:numCache>
            </c:numRef>
          </c:yVal>
          <c:smooth val="0"/>
        </c:ser>
        <c:ser>
          <c:idx val="17"/>
          <c:order val="15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Calculations!$C$38</c:f>
              <c:numCache>
                <c:ptCount val="1"/>
                <c:pt idx="0">
                  <c:v>93.33333333333334</c:v>
                </c:pt>
              </c:numCache>
            </c:numRef>
          </c:xVal>
          <c:yVal>
            <c:numRef>
              <c:f>Calculations!$C$39</c:f>
              <c:numCache>
                <c:ptCount val="1"/>
                <c:pt idx="0">
                  <c:v>7.499999999999998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Plot!$I$68</c:f>
              <c:strCache>
                <c:ptCount val="1"/>
                <c:pt idx="0">
                  <c:v>Pannhard Bar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Plot!$I$70:$I$72</c:f>
              <c:numCache>
                <c:ptCount val="3"/>
                <c:pt idx="0">
                  <c:v>-8</c:v>
                </c:pt>
                <c:pt idx="1">
                  <c:v>-8</c:v>
                </c:pt>
                <c:pt idx="2">
                  <c:v>-8</c:v>
                </c:pt>
              </c:numCache>
            </c:numRef>
          </c:xVal>
          <c:yVal>
            <c:numRef>
              <c:f>Plot!$K$70:$K$72</c:f>
              <c:numCache>
                <c:ptCount val="3"/>
                <c:pt idx="0">
                  <c:v>36</c:v>
                </c:pt>
                <c:pt idx="1">
                  <c:v>60</c:v>
                </c:pt>
                <c:pt idx="2">
                  <c:v>84</c:v>
                </c:pt>
              </c:numCache>
            </c:numRef>
          </c:yVal>
          <c:smooth val="0"/>
        </c:ser>
        <c:axId val="7153297"/>
        <c:axId val="64379674"/>
      </c:scatterChart>
      <c:valAx>
        <c:axId val="7153297"/>
        <c:scaling>
          <c:orientation val="minMax"/>
          <c:max val="140"/>
          <c:min val="-2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At val="0"/>
        <c:crossBetween val="midCat"/>
        <c:dispUnits/>
        <c:majorUnit val="20"/>
        <c:minorUnit val="10"/>
      </c:valAx>
      <c:valAx>
        <c:axId val="64379674"/>
        <c:scaling>
          <c:orientation val="minMax"/>
          <c:max val="90"/>
          <c:min val="0"/>
        </c:scaling>
        <c:axPos val="l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153297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9525"/>
          <c:y val="0.016"/>
          <c:w val="0.10475"/>
          <c:h val="0.970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45"/>
          <c:w val="0.98175"/>
          <c:h val="0.90075"/>
        </c:manualLayout>
      </c:layout>
      <c:scatterChart>
        <c:scatterStyle val="line"/>
        <c:varyColors val="0"/>
        <c:ser>
          <c:idx val="1"/>
          <c:order val="0"/>
          <c:tx>
            <c:strRef>
              <c:f>Plot!$I$53</c:f>
              <c:strCache>
                <c:ptCount val="1"/>
                <c:pt idx="0">
                  <c:v>Upper Link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Plot!$I$55:$I$56</c:f>
              <c:numCache/>
            </c:numRef>
          </c:xVal>
          <c:yVal>
            <c:numRef>
              <c:f>Plot!$K$55:$K$56</c:f>
              <c:numCache/>
            </c:numRef>
          </c:yVal>
          <c:smooth val="0"/>
        </c:ser>
        <c:ser>
          <c:idx val="2"/>
          <c:order val="1"/>
          <c:tx>
            <c:strRef>
              <c:f>Plot!$I$57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Plot!$I$59:$I$60</c:f>
              <c:numCache/>
            </c:numRef>
          </c:xVal>
          <c:yVal>
            <c:numRef>
              <c:f>Plot!$K$59:$K$60</c:f>
              <c:numCache/>
            </c:numRef>
          </c:yVal>
          <c:smooth val="0"/>
        </c:ser>
        <c:ser>
          <c:idx val="3"/>
          <c:order val="2"/>
          <c:tx>
            <c:strRef>
              <c:f>Plot!$I$57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Plot!$I$61:$I$62</c:f>
              <c:numCache/>
            </c:numRef>
          </c:xVal>
          <c:yVal>
            <c:numRef>
              <c:f>Plot!$K$61:$K$62</c:f>
              <c:numCache/>
            </c:numRef>
          </c:yVal>
          <c:smooth val="0"/>
        </c:ser>
        <c:ser>
          <c:idx val="5"/>
          <c:order val="3"/>
          <c:tx>
            <c:strRef>
              <c:f>Plot!$I$63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Plot!$I$65:$I$67</c:f>
              <c:numCache/>
            </c:numRef>
          </c:xVal>
          <c:yVal>
            <c:numRef>
              <c:f>Plot!$K$65:$K$67</c:f>
              <c:numCache/>
            </c:numRef>
          </c:yVal>
          <c:smooth val="0"/>
        </c:ser>
        <c:ser>
          <c:idx val="6"/>
          <c:order val="4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Plot!$B$53:$B$77</c:f>
              <c:numCache/>
            </c:numRef>
          </c:xVal>
          <c:yVal>
            <c:numRef>
              <c:f>Plot!$C$53:$C$77</c:f>
              <c:numCache/>
            </c:numRef>
          </c:yVal>
          <c:smooth val="1"/>
        </c:ser>
        <c:ser>
          <c:idx val="7"/>
          <c:order val="5"/>
          <c:tx>
            <c:strRef>
              <c:f>Plot!$D$51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Plot!$D$53:$D$77</c:f>
              <c:numCache/>
            </c:numRef>
          </c:xVal>
          <c:yVal>
            <c:numRef>
              <c:f>Plot!$E$53:$E$77</c:f>
              <c:numCache/>
            </c:numRef>
          </c:yVal>
          <c:smooth val="1"/>
        </c:ser>
        <c:ser>
          <c:idx val="8"/>
          <c:order val="6"/>
          <c:tx>
            <c:strRef>
              <c:f>Calculations!$B$11</c:f>
              <c:strCache>
                <c:ptCount val="1"/>
                <c:pt idx="0">
                  <c:v>Upper Link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Calculations!$C$12:$C$13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Calculations!$E$12:$E$13</c:f>
              <c:numCache>
                <c:ptCount val="2"/>
                <c:pt idx="0">
                  <c:v>15.75</c:v>
                </c:pt>
                <c:pt idx="1">
                  <c:v>18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Calculations!$H$11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Calculations!$I$12:$I$13</c:f>
              <c:numCache>
                <c:ptCount val="2"/>
                <c:pt idx="0">
                  <c:v>23.98</c:v>
                </c:pt>
                <c:pt idx="1">
                  <c:v>-2</c:v>
                </c:pt>
              </c:numCache>
            </c:numRef>
          </c:xVal>
          <c:yVal>
            <c:numRef>
              <c:f>Calculations!$K$12:$K$13</c:f>
              <c:numCach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Plot!$F$51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Plot!$F$53:$F$54</c:f>
              <c:numCache/>
            </c:numRef>
          </c:xVal>
          <c:yVal>
            <c:numRef>
              <c:f>Plot!$G$53:$G$54</c:f>
              <c:numCache/>
            </c:numRef>
          </c:yVal>
          <c:smooth val="0"/>
        </c:ser>
        <c:ser>
          <c:idx val="11"/>
          <c:order val="9"/>
          <c:tx>
            <c:strRef>
              <c:f>Plot!$F$55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Plot!$F$57:$F$58</c:f>
              <c:numCache/>
            </c:numRef>
          </c:xVal>
          <c:yVal>
            <c:numRef>
              <c:f>Plot!$G$57:$G$58</c:f>
              <c:numCache/>
            </c:numRef>
          </c:yVal>
          <c:smooth val="0"/>
        </c:ser>
        <c:ser>
          <c:idx val="12"/>
          <c:order val="10"/>
          <c:tx>
            <c:strRef>
              <c:f>Plot!$F$59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Plot!$F$61:$F$63</c:f>
              <c:numCache/>
            </c:numRef>
          </c:xVal>
          <c:yVal>
            <c:numRef>
              <c:f>Plot!$G$61:$G$63</c:f>
              <c:numCache/>
            </c:numRef>
          </c:yVal>
          <c:smooth val="0"/>
        </c:ser>
        <c:ser>
          <c:idx val="13"/>
          <c:order val="11"/>
          <c:tx>
            <c:strRef>
              <c:f>Plot!$F$64</c:f>
              <c:strCache>
                <c:ptCount val="1"/>
                <c:pt idx="0">
                  <c:v>CG Line</c:v>
                </c:pt>
              </c:strCache>
            </c:strRef>
          </c:tx>
          <c:spPr>
            <a:ln w="3175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Plot!$F$66:$F$67</c:f>
              <c:numCache/>
            </c:numRef>
          </c:xVal>
          <c:yVal>
            <c:numRef>
              <c:f>Plot!$G$66:$G$67</c:f>
              <c:numCache/>
            </c:numRef>
          </c:yVal>
          <c:smooth val="0"/>
        </c:ser>
        <c:ser>
          <c:idx val="14"/>
          <c:order val="12"/>
          <c:tx>
            <c:strRef>
              <c:f>Plot!$F$68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Plot!$F$70:$F$71</c:f>
              <c:numCache/>
            </c:numRef>
          </c:xVal>
          <c:yVal>
            <c:numRef>
              <c:f>Plot!$G$70:$G$71</c:f>
              <c:numCache/>
            </c:numRef>
          </c:yVal>
          <c:smooth val="0"/>
        </c:ser>
        <c:ser>
          <c:idx val="15"/>
          <c:order val="13"/>
          <c:tx>
            <c:strRef>
              <c:f>Plot!$F$72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Plot!$F$74:$F$76</c:f>
              <c:numCache/>
            </c:numRef>
          </c:xVal>
          <c:yVal>
            <c:numRef>
              <c:f>Plot!$G$74:$G$76</c:f>
              <c:numCache/>
            </c:numRef>
          </c:yVal>
          <c:smooth val="0"/>
        </c:ser>
        <c:ser>
          <c:idx val="16"/>
          <c:order val="14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Plot!$F$75</c:f>
              <c:numCache/>
            </c:numRef>
          </c:xVal>
          <c:yVal>
            <c:numRef>
              <c:f>Plot!$G$75</c:f>
              <c:numCache/>
            </c:numRef>
          </c:yVal>
          <c:smooth val="0"/>
        </c:ser>
        <c:ser>
          <c:idx val="17"/>
          <c:order val="15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Calculations!$C$38</c:f>
              <c:numCache>
                <c:ptCount val="1"/>
                <c:pt idx="0">
                  <c:v>93.33333333333334</c:v>
                </c:pt>
              </c:numCache>
            </c:numRef>
          </c:xVal>
          <c:yVal>
            <c:numRef>
              <c:f>Calculations!$C$39</c:f>
              <c:numCache>
                <c:ptCount val="1"/>
                <c:pt idx="0">
                  <c:v>7.499999999999998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Plot!$I$68</c:f>
              <c:strCache>
                <c:ptCount val="1"/>
                <c:pt idx="0">
                  <c:v>Pannhard Bar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Plot!$I$70:$I$72</c:f>
              <c:numCache/>
            </c:numRef>
          </c:xVal>
          <c:yVal>
            <c:numRef>
              <c:f>Plot!$K$70:$K$72</c:f>
              <c:numCache/>
            </c:numRef>
          </c:yVal>
          <c:smooth val="0"/>
        </c:ser>
        <c:axId val="42546155"/>
        <c:axId val="47371076"/>
      </c:scatterChart>
      <c:valAx>
        <c:axId val="42546155"/>
        <c:scaling>
          <c:orientation val="minMax"/>
          <c:max val="140"/>
          <c:min val="-2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0"/>
        <c:crossBetween val="midCat"/>
        <c:dispUnits/>
        <c:majorUnit val="20"/>
        <c:minorUnit val="10"/>
      </c:valAx>
      <c:valAx>
        <c:axId val="47371076"/>
        <c:scaling>
          <c:orientation val="minMax"/>
          <c:max val="90"/>
          <c:min val="0"/>
        </c:scaling>
        <c:axPos val="l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4615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9</xdr:col>
      <xdr:colOff>9525</xdr:colOff>
      <xdr:row>47</xdr:row>
      <xdr:rowOff>57150</xdr:rowOff>
    </xdr:to>
    <xdr:graphicFrame>
      <xdr:nvGraphicFramePr>
        <xdr:cNvPr id="1" name="Chart 20"/>
        <xdr:cNvGraphicFramePr/>
      </xdr:nvGraphicFramePr>
      <xdr:xfrm>
        <a:off x="95250" y="3114675"/>
        <a:ext cx="95345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14</xdr:col>
      <xdr:colOff>466725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8100" y="295275"/>
        <a:ext cx="105156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11</xdr:col>
      <xdr:colOff>371475</xdr:colOff>
      <xdr:row>43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riaged\LOCALS~1\Temp\_PA642\4BarLinkV3.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VectorCalculations"/>
      <sheetName val="Travel"/>
      <sheetName val="Material"/>
      <sheetName val="Coordinate"/>
      <sheetName val="Plot"/>
      <sheetName val="Revi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76"/>
  <sheetViews>
    <sheetView showGridLines="0" tabSelected="1" workbookViewId="0" topLeftCell="A1">
      <selection activeCell="H4" sqref="H4"/>
    </sheetView>
  </sheetViews>
  <sheetFormatPr defaultColWidth="9.140625" defaultRowHeight="12.75"/>
  <cols>
    <col min="1" max="1" width="1.421875" style="15" customWidth="1"/>
    <col min="2" max="2" width="17.8515625" style="14" customWidth="1"/>
    <col min="3" max="9" width="17.8515625" style="15" customWidth="1"/>
    <col min="10" max="12" width="17.57421875" style="15" customWidth="1"/>
    <col min="13" max="13" width="7.8515625" style="15" customWidth="1"/>
    <col min="14" max="16384" width="15.140625" style="15" customWidth="1"/>
  </cols>
  <sheetData>
    <row r="1" spans="2:6" ht="20.25">
      <c r="B1" s="94" t="s">
        <v>108</v>
      </c>
      <c r="E1" s="95"/>
      <c r="F1" s="95"/>
    </row>
    <row r="2" spans="2:14" ht="15.75">
      <c r="B2" s="89" t="s">
        <v>43</v>
      </c>
      <c r="G2" s="16"/>
      <c r="J2" s="97"/>
      <c r="K2" s="42"/>
      <c r="M2" s="41"/>
      <c r="N2" s="41"/>
    </row>
    <row r="3" spans="2:14" ht="12.75">
      <c r="B3" s="14" t="s">
        <v>2</v>
      </c>
      <c r="C3" s="5">
        <v>110</v>
      </c>
      <c r="D3" s="16" t="s">
        <v>12</v>
      </c>
      <c r="E3" s="67"/>
      <c r="F3" s="96" t="s">
        <v>41</v>
      </c>
      <c r="H3" s="14"/>
      <c r="L3" s="41"/>
      <c r="M3" s="41"/>
      <c r="N3" s="41"/>
    </row>
    <row r="4" spans="2:14" ht="12.75">
      <c r="B4" s="14" t="s">
        <v>3</v>
      </c>
      <c r="C4" s="6">
        <v>26</v>
      </c>
      <c r="D4" s="16" t="s">
        <v>12</v>
      </c>
      <c r="H4" s="14"/>
      <c r="L4" s="41"/>
      <c r="M4" s="41"/>
      <c r="N4" s="41"/>
    </row>
    <row r="5" spans="2:14" ht="12.75">
      <c r="B5" s="14" t="s">
        <v>93</v>
      </c>
      <c r="C5" s="60">
        <v>12.75</v>
      </c>
      <c r="D5" s="16" t="s">
        <v>12</v>
      </c>
      <c r="E5" s="25" t="s">
        <v>115</v>
      </c>
      <c r="H5" s="14"/>
      <c r="M5" s="41"/>
      <c r="N5" s="41"/>
    </row>
    <row r="6" spans="2:14" ht="12.75">
      <c r="B6" s="98" t="s">
        <v>117</v>
      </c>
      <c r="C6" s="6">
        <v>22</v>
      </c>
      <c r="D6" s="16" t="s">
        <v>12</v>
      </c>
      <c r="E6" s="25" t="s">
        <v>52</v>
      </c>
      <c r="M6" s="41"/>
      <c r="N6" s="41"/>
    </row>
    <row r="7" spans="2:14" ht="12.75">
      <c r="B7" s="98" t="s">
        <v>8</v>
      </c>
      <c r="C7" s="7">
        <v>3200</v>
      </c>
      <c r="D7" s="16" t="s">
        <v>13</v>
      </c>
      <c r="E7" s="25" t="s">
        <v>76</v>
      </c>
      <c r="F7" s="16"/>
      <c r="J7" s="42"/>
      <c r="M7" s="41"/>
      <c r="N7" s="41"/>
    </row>
    <row r="8" spans="2:14" ht="15.75">
      <c r="B8" s="89" t="s">
        <v>44</v>
      </c>
      <c r="C8" s="93"/>
      <c r="D8" s="16"/>
      <c r="E8" s="16"/>
      <c r="F8" s="16"/>
      <c r="G8" s="89" t="s">
        <v>98</v>
      </c>
      <c r="H8" s="9"/>
      <c r="L8" s="41"/>
      <c r="M8" s="41"/>
      <c r="N8" s="41"/>
    </row>
    <row r="9" spans="2:14" ht="15.75">
      <c r="B9" s="99" t="s">
        <v>107</v>
      </c>
      <c r="C9" s="25" t="s">
        <v>1</v>
      </c>
      <c r="D9" s="25" t="s">
        <v>0</v>
      </c>
      <c r="E9" s="25" t="s">
        <v>4</v>
      </c>
      <c r="F9" s="23"/>
      <c r="G9" s="101" t="s">
        <v>7</v>
      </c>
      <c r="H9" s="50">
        <f>(Calculations!C34)</f>
        <v>40.178571428571416</v>
      </c>
      <c r="I9" s="16" t="s">
        <v>6</v>
      </c>
      <c r="J9" s="16"/>
      <c r="K9" s="16"/>
      <c r="M9" s="41"/>
      <c r="N9" s="41"/>
    </row>
    <row r="10" spans="2:14" ht="12.75">
      <c r="B10" s="14" t="s">
        <v>29</v>
      </c>
      <c r="C10" s="33">
        <v>20</v>
      </c>
      <c r="D10" s="33">
        <v>-4</v>
      </c>
      <c r="E10" s="33">
        <v>15.75</v>
      </c>
      <c r="F10" s="23" t="s">
        <v>12</v>
      </c>
      <c r="G10" s="102" t="s">
        <v>79</v>
      </c>
      <c r="H10" s="50">
        <f>(Calculations!C36)</f>
        <v>0</v>
      </c>
      <c r="I10" s="41" t="s">
        <v>118</v>
      </c>
      <c r="K10" s="16"/>
      <c r="M10" s="41"/>
      <c r="N10" s="41"/>
    </row>
    <row r="11" spans="2:14" ht="12.75">
      <c r="B11" s="14" t="s">
        <v>30</v>
      </c>
      <c r="C11" s="33">
        <v>0</v>
      </c>
      <c r="D11" s="33">
        <v>-4</v>
      </c>
      <c r="E11" s="33">
        <v>18</v>
      </c>
      <c r="F11" s="23" t="s">
        <v>12</v>
      </c>
      <c r="G11" s="103" t="s">
        <v>78</v>
      </c>
      <c r="H11" s="50">
        <f>(Calculations!C37)</f>
        <v>13</v>
      </c>
      <c r="I11" s="41" t="s">
        <v>12</v>
      </c>
      <c r="M11" s="41"/>
      <c r="N11" s="41"/>
    </row>
    <row r="12" spans="2:39" ht="15.75">
      <c r="B12" s="86" t="s">
        <v>5</v>
      </c>
      <c r="C12" s="25" t="s">
        <v>1</v>
      </c>
      <c r="D12" s="25" t="s">
        <v>0</v>
      </c>
      <c r="E12" s="25" t="s">
        <v>4</v>
      </c>
      <c r="F12" s="23"/>
      <c r="G12" s="14" t="s">
        <v>42</v>
      </c>
      <c r="H12" s="50">
        <f>(Calculations!C38)</f>
        <v>93.33333333333334</v>
      </c>
      <c r="I12" s="15" t="s">
        <v>12</v>
      </c>
      <c r="L12" s="23"/>
      <c r="M12" s="41"/>
      <c r="N12" s="41"/>
      <c r="AF12" s="10"/>
      <c r="AG12" s="10"/>
      <c r="AH12" s="10"/>
      <c r="AM12" s="10"/>
    </row>
    <row r="13" spans="2:39" ht="12.75">
      <c r="B13" s="14" t="s">
        <v>29</v>
      </c>
      <c r="C13" s="33">
        <v>23.98</v>
      </c>
      <c r="D13" s="33">
        <v>24</v>
      </c>
      <c r="E13" s="33">
        <v>7.5</v>
      </c>
      <c r="F13" s="23" t="s">
        <v>12</v>
      </c>
      <c r="G13" s="14" t="s">
        <v>53</v>
      </c>
      <c r="H13" s="50">
        <f>(Calculations!C39)</f>
        <v>7.499999999999998</v>
      </c>
      <c r="I13" s="15" t="s">
        <v>12</v>
      </c>
      <c r="L13" s="23"/>
      <c r="M13" s="41"/>
      <c r="N13" s="41"/>
      <c r="AF13" s="10"/>
      <c r="AG13" s="10"/>
      <c r="AH13" s="10"/>
      <c r="AM13" s="10"/>
    </row>
    <row r="14" spans="2:39" ht="12.75">
      <c r="B14" s="14" t="s">
        <v>30</v>
      </c>
      <c r="C14" s="33">
        <v>-2</v>
      </c>
      <c r="D14" s="33">
        <v>24</v>
      </c>
      <c r="E14" s="33">
        <v>7.5</v>
      </c>
      <c r="F14" s="23" t="s">
        <v>12</v>
      </c>
      <c r="L14" s="23"/>
      <c r="M14" s="41"/>
      <c r="N14" s="41"/>
      <c r="AF14" s="10"/>
      <c r="AG14" s="10"/>
      <c r="AH14" s="10"/>
      <c r="AM14" s="10"/>
    </row>
    <row r="15" spans="2:14" ht="15.75">
      <c r="B15" s="100" t="s">
        <v>109</v>
      </c>
      <c r="C15" s="25" t="s">
        <v>1</v>
      </c>
      <c r="D15" s="25" t="s">
        <v>0</v>
      </c>
      <c r="E15" s="25" t="s">
        <v>4</v>
      </c>
      <c r="F15" s="23"/>
      <c r="N15" s="41"/>
    </row>
    <row r="16" spans="2:14" ht="12.75">
      <c r="B16" s="14" t="s">
        <v>29</v>
      </c>
      <c r="C16" s="33">
        <v>-8</v>
      </c>
      <c r="D16" s="33">
        <v>-24</v>
      </c>
      <c r="E16" s="33">
        <v>13</v>
      </c>
      <c r="F16" s="23" t="s">
        <v>12</v>
      </c>
      <c r="N16" s="41"/>
    </row>
    <row r="17" spans="2:14" ht="12.75">
      <c r="B17" s="14" t="s">
        <v>30</v>
      </c>
      <c r="C17" s="33">
        <v>-8</v>
      </c>
      <c r="D17" s="33">
        <v>24</v>
      </c>
      <c r="E17" s="33">
        <v>13</v>
      </c>
      <c r="F17" s="23" t="s">
        <v>12</v>
      </c>
      <c r="N17" s="41"/>
    </row>
    <row r="18" spans="2:14" ht="15.75">
      <c r="B18" s="89"/>
      <c r="C18" s="93"/>
      <c r="D18" s="16"/>
      <c r="E18" s="16"/>
      <c r="F18" s="16"/>
      <c r="N18" s="41"/>
    </row>
    <row r="19" spans="2:14" ht="12.75">
      <c r="B19" s="15"/>
      <c r="G19" s="10"/>
      <c r="H19" s="10"/>
      <c r="I19" s="10"/>
      <c r="J19" s="10"/>
      <c r="K19" s="10"/>
      <c r="N19" s="41"/>
    </row>
    <row r="20" spans="14:39" s="10" customFormat="1" ht="12.75">
      <c r="N20" s="41"/>
      <c r="AF20" s="15"/>
      <c r="AG20" s="15"/>
      <c r="AH20" s="15"/>
      <c r="AM20" s="15"/>
    </row>
    <row r="21" spans="7:39" s="10" customFormat="1" ht="12.75">
      <c r="G21" s="16"/>
      <c r="H21" s="15"/>
      <c r="I21" s="41"/>
      <c r="J21" s="42"/>
      <c r="K21" s="44"/>
      <c r="N21" s="41"/>
      <c r="AF21" s="15"/>
      <c r="AG21" s="15"/>
      <c r="AH21" s="15"/>
      <c r="AM21" s="15"/>
    </row>
    <row r="22" spans="2:14" ht="12.75">
      <c r="B22" s="15"/>
      <c r="L22" s="41"/>
      <c r="M22" s="41"/>
      <c r="N22" s="41"/>
    </row>
    <row r="23" ht="12.75">
      <c r="B23" s="15"/>
    </row>
    <row r="24" ht="12.75">
      <c r="B24" s="15"/>
    </row>
    <row r="25" ht="12.75">
      <c r="B25" s="15"/>
    </row>
    <row r="26" spans="2:9" ht="12.75">
      <c r="B26" s="15"/>
      <c r="I26" s="41"/>
    </row>
    <row r="27" spans="2:9" ht="12.75">
      <c r="B27" s="15"/>
      <c r="I27" s="41"/>
    </row>
    <row r="28" spans="2:10" ht="12.75">
      <c r="B28" s="15"/>
      <c r="I28" s="41"/>
      <c r="J28" s="10"/>
    </row>
    <row r="29" ht="12.75">
      <c r="B29" s="15"/>
    </row>
    <row r="30" ht="12.75">
      <c r="B30" s="15"/>
    </row>
    <row r="31" ht="12.75">
      <c r="B31" s="15"/>
    </row>
    <row r="32" spans="2:11" ht="12.75">
      <c r="B32" s="15"/>
      <c r="K32" s="10"/>
    </row>
    <row r="33" spans="2:12" ht="12.75">
      <c r="B33" s="15"/>
      <c r="L33" s="10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spans="2:9" ht="12.75">
      <c r="B50" s="15"/>
      <c r="F50" s="10"/>
      <c r="G50" s="10"/>
      <c r="H50" s="10"/>
      <c r="I50" s="10"/>
    </row>
    <row r="51" spans="2:9" ht="12.75">
      <c r="B51" s="15"/>
      <c r="F51" s="10"/>
      <c r="G51" s="10"/>
      <c r="H51" s="10"/>
      <c r="I51" s="10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2" ht="12.75">
      <c r="B322" s="15"/>
    </row>
    <row r="323" ht="12.75">
      <c r="B323" s="15"/>
    </row>
    <row r="324" ht="12.75">
      <c r="B324" s="15"/>
    </row>
    <row r="325" ht="12.75">
      <c r="B325" s="15"/>
    </row>
    <row r="326" ht="12.75">
      <c r="B326" s="15"/>
    </row>
    <row r="327" ht="12.75">
      <c r="B327" s="15"/>
    </row>
    <row r="328" ht="12.75">
      <c r="B328" s="15"/>
    </row>
    <row r="329" ht="12.75">
      <c r="B329" s="15"/>
    </row>
    <row r="330" ht="12.75">
      <c r="B330" s="15"/>
    </row>
    <row r="331" ht="12.75">
      <c r="B331" s="15"/>
    </row>
    <row r="332" ht="12.75">
      <c r="B332" s="15"/>
    </row>
    <row r="333" ht="12.75">
      <c r="B333" s="15"/>
    </row>
    <row r="334" ht="12.75">
      <c r="B334" s="15"/>
    </row>
    <row r="335" ht="12.75">
      <c r="B335" s="15"/>
    </row>
    <row r="336" ht="12.75">
      <c r="B336" s="15"/>
    </row>
    <row r="337" ht="12.75">
      <c r="B337" s="15"/>
    </row>
    <row r="338" ht="12.75">
      <c r="B338" s="15"/>
    </row>
    <row r="339" ht="12.75">
      <c r="B339" s="15"/>
    </row>
    <row r="340" ht="12.75">
      <c r="B340" s="15"/>
    </row>
    <row r="341" ht="12.75">
      <c r="B341" s="15"/>
    </row>
    <row r="342" ht="12.75">
      <c r="B342" s="15"/>
    </row>
    <row r="343" ht="12.75">
      <c r="B343" s="15"/>
    </row>
    <row r="344" ht="12.75">
      <c r="B344" s="15"/>
    </row>
    <row r="345" ht="12.75">
      <c r="B345" s="15"/>
    </row>
    <row r="346" ht="12.75">
      <c r="B346" s="15"/>
    </row>
    <row r="347" ht="12.75">
      <c r="B347" s="15"/>
    </row>
    <row r="348" ht="12.75">
      <c r="B348" s="15"/>
    </row>
    <row r="349" ht="12.75">
      <c r="B349" s="15"/>
    </row>
    <row r="350" ht="12.75">
      <c r="B350" s="15"/>
    </row>
    <row r="351" ht="12.75">
      <c r="B351" s="15"/>
    </row>
    <row r="352" ht="12.75">
      <c r="B352" s="15"/>
    </row>
    <row r="353" ht="12.75">
      <c r="B353" s="15"/>
    </row>
    <row r="354" ht="12.75">
      <c r="B354" s="15"/>
    </row>
    <row r="355" ht="12.75">
      <c r="B355" s="15"/>
    </row>
    <row r="356" ht="12.75">
      <c r="B356" s="15"/>
    </row>
    <row r="357" ht="12.75">
      <c r="B357" s="15"/>
    </row>
    <row r="358" ht="12.75">
      <c r="B358" s="15"/>
    </row>
    <row r="359" ht="12.75">
      <c r="B359" s="15"/>
    </row>
    <row r="360" ht="12.75">
      <c r="B360" s="15"/>
    </row>
    <row r="361" ht="12.75">
      <c r="B361" s="15"/>
    </row>
    <row r="362" ht="12.75">
      <c r="B362" s="15"/>
    </row>
    <row r="363" ht="12.75">
      <c r="B363" s="15"/>
    </row>
    <row r="364" ht="12.75">
      <c r="B364" s="15"/>
    </row>
    <row r="365" ht="12.75">
      <c r="B365" s="15"/>
    </row>
    <row r="366" ht="12.75">
      <c r="B366" s="15"/>
    </row>
    <row r="367" ht="12.75">
      <c r="B367" s="15"/>
    </row>
    <row r="368" ht="12.75">
      <c r="B368" s="15"/>
    </row>
    <row r="369" ht="12.75">
      <c r="B369" s="15"/>
    </row>
    <row r="370" ht="12.75">
      <c r="B370" s="15"/>
    </row>
    <row r="371" ht="12.75">
      <c r="B371" s="15"/>
    </row>
    <row r="372" ht="12.75">
      <c r="B372" s="15"/>
    </row>
    <row r="373" ht="12.75">
      <c r="B373" s="15"/>
    </row>
    <row r="374" ht="12.75">
      <c r="B374" s="15"/>
    </row>
    <row r="375" ht="12.75">
      <c r="B375" s="15"/>
    </row>
    <row r="376" ht="12.75">
      <c r="B376" s="15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73" r:id="rId4"/>
  <rowBreaks count="1" manualBreakCount="1">
    <brk id="5" min="1" max="10" man="1"/>
  </rowBreaks>
  <colBreaks count="1" manualBreakCount="1">
    <brk id="5" max="4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26"/>
  <sheetViews>
    <sheetView showGridLines="0" workbookViewId="0" topLeftCell="A1">
      <selection activeCell="C32" sqref="C32"/>
    </sheetView>
  </sheetViews>
  <sheetFormatPr defaultColWidth="9.140625" defaultRowHeight="12.75"/>
  <cols>
    <col min="1" max="1" width="1.421875" style="4" customWidth="1"/>
    <col min="2" max="2" width="18.57421875" style="1" customWidth="1"/>
    <col min="3" max="7" width="15.140625" style="4" customWidth="1"/>
    <col min="8" max="8" width="18.57421875" style="4" customWidth="1"/>
    <col min="9" max="12" width="15.140625" style="4" customWidth="1"/>
    <col min="13" max="13" width="7.8515625" style="4" customWidth="1"/>
    <col min="14" max="16384" width="15.140625" style="4" customWidth="1"/>
  </cols>
  <sheetData>
    <row r="1" spans="2:12" ht="20.25">
      <c r="B1" s="28" t="s">
        <v>108</v>
      </c>
      <c r="E1" s="3"/>
      <c r="F1" s="3"/>
      <c r="K1" s="84"/>
      <c r="L1" s="2" t="s">
        <v>116</v>
      </c>
    </row>
    <row r="2" spans="2:14" ht="15.75">
      <c r="B2" s="64" t="s">
        <v>43</v>
      </c>
      <c r="C2" s="11"/>
      <c r="D2" s="11"/>
      <c r="E2" s="11"/>
      <c r="F2" s="11"/>
      <c r="G2" s="12"/>
      <c r="H2" s="11"/>
      <c r="I2" s="46"/>
      <c r="J2" s="11"/>
      <c r="K2" s="47"/>
      <c r="L2" s="85"/>
      <c r="M2" s="46"/>
      <c r="N2" s="41"/>
    </row>
    <row r="3" spans="2:14" ht="12.75">
      <c r="B3" s="22"/>
      <c r="C3" s="15"/>
      <c r="D3" s="15"/>
      <c r="E3" s="15"/>
      <c r="F3" s="15"/>
      <c r="G3" s="16"/>
      <c r="H3" s="15"/>
      <c r="I3" s="41"/>
      <c r="L3" s="41"/>
      <c r="M3" s="43"/>
      <c r="N3" s="41"/>
    </row>
    <row r="4" spans="2:14" ht="12.75">
      <c r="B4" s="22" t="s">
        <v>2</v>
      </c>
      <c r="C4" s="107">
        <f>Wheelbase</f>
        <v>110</v>
      </c>
      <c r="D4" s="16" t="s">
        <v>99</v>
      </c>
      <c r="E4" s="14"/>
      <c r="F4" s="109" t="s">
        <v>119</v>
      </c>
      <c r="G4" s="16" t="s">
        <v>12</v>
      </c>
      <c r="H4" s="1" t="s">
        <v>113</v>
      </c>
      <c r="I4" s="109" t="s">
        <v>119</v>
      </c>
      <c r="K4" s="10"/>
      <c r="L4" s="41"/>
      <c r="M4" s="43"/>
      <c r="N4" s="41"/>
    </row>
    <row r="5" spans="2:14" ht="12.75">
      <c r="B5" s="22" t="s">
        <v>114</v>
      </c>
      <c r="C5" s="109" t="s">
        <v>119</v>
      </c>
      <c r="D5" s="16" t="s">
        <v>102</v>
      </c>
      <c r="E5" s="59"/>
      <c r="F5" s="109" t="s">
        <v>119</v>
      </c>
      <c r="G5" s="16" t="s">
        <v>12</v>
      </c>
      <c r="H5" s="1" t="s">
        <v>104</v>
      </c>
      <c r="I5" s="109" t="s">
        <v>119</v>
      </c>
      <c r="J5" s="4" t="s">
        <v>106</v>
      </c>
      <c r="K5" s="44"/>
      <c r="L5" s="41"/>
      <c r="M5" s="43"/>
      <c r="N5" s="41"/>
    </row>
    <row r="6" spans="2:14" ht="12.75">
      <c r="B6" s="22" t="s">
        <v>3</v>
      </c>
      <c r="C6" s="104">
        <f>TireDia</f>
        <v>26</v>
      </c>
      <c r="D6" s="16" t="s">
        <v>103</v>
      </c>
      <c r="E6" s="59"/>
      <c r="F6" s="104">
        <f>CG_Z</f>
        <v>22</v>
      </c>
      <c r="G6" s="16" t="s">
        <v>12</v>
      </c>
      <c r="H6" s="1" t="s">
        <v>105</v>
      </c>
      <c r="I6" s="109" t="s">
        <v>119</v>
      </c>
      <c r="J6" s="4" t="s">
        <v>12</v>
      </c>
      <c r="K6" s="15"/>
      <c r="L6" s="25" t="s">
        <v>115</v>
      </c>
      <c r="M6" s="43"/>
      <c r="N6" s="41"/>
    </row>
    <row r="7" spans="2:14" ht="12.75">
      <c r="B7" s="22" t="s">
        <v>93</v>
      </c>
      <c r="C7" s="104">
        <f>TireRR</f>
        <v>12.75</v>
      </c>
      <c r="D7" s="16" t="s">
        <v>12</v>
      </c>
      <c r="E7" s="59" t="s">
        <v>8</v>
      </c>
      <c r="F7" s="108">
        <f>Weight</f>
        <v>3200</v>
      </c>
      <c r="G7" s="16" t="s">
        <v>13</v>
      </c>
      <c r="K7" s="15"/>
      <c r="L7" s="25" t="s">
        <v>52</v>
      </c>
      <c r="M7" s="43"/>
      <c r="N7" s="41"/>
    </row>
    <row r="8" spans="2:14" ht="12.75">
      <c r="B8" s="22" t="s">
        <v>94</v>
      </c>
      <c r="C8" s="109" t="s">
        <v>119</v>
      </c>
      <c r="D8" s="16" t="s">
        <v>12</v>
      </c>
      <c r="E8" s="16"/>
      <c r="F8" s="16"/>
      <c r="J8" s="42"/>
      <c r="K8" s="15"/>
      <c r="L8" s="25" t="s">
        <v>76</v>
      </c>
      <c r="M8" s="43"/>
      <c r="N8" s="41"/>
    </row>
    <row r="9" spans="2:14" ht="12.75">
      <c r="B9" s="26"/>
      <c r="C9" s="45"/>
      <c r="D9" s="12"/>
      <c r="E9" s="12"/>
      <c r="F9" s="12"/>
      <c r="G9" s="12"/>
      <c r="H9" s="11"/>
      <c r="I9" s="46"/>
      <c r="J9" s="47"/>
      <c r="K9" s="48"/>
      <c r="L9" s="57"/>
      <c r="M9" s="49"/>
      <c r="N9" s="41"/>
    </row>
    <row r="10" spans="2:14" ht="15.75">
      <c r="B10" s="89" t="s">
        <v>44</v>
      </c>
      <c r="C10" s="45"/>
      <c r="D10" s="12"/>
      <c r="E10" s="12"/>
      <c r="F10" s="12"/>
      <c r="G10" s="12"/>
      <c r="H10" s="15"/>
      <c r="I10" s="46"/>
      <c r="J10" s="47"/>
      <c r="K10" s="48"/>
      <c r="L10" s="46"/>
      <c r="M10" s="46"/>
      <c r="N10" s="41"/>
    </row>
    <row r="11" spans="2:14" ht="15.75">
      <c r="B11" s="91" t="s">
        <v>107</v>
      </c>
      <c r="C11" s="88" t="s">
        <v>1</v>
      </c>
      <c r="D11" s="65" t="s">
        <v>0</v>
      </c>
      <c r="E11" s="65" t="s">
        <v>4</v>
      </c>
      <c r="F11" s="23"/>
      <c r="G11" s="17"/>
      <c r="H11" s="92" t="s">
        <v>5</v>
      </c>
      <c r="I11" s="88" t="s">
        <v>1</v>
      </c>
      <c r="J11" s="65" t="s">
        <v>0</v>
      </c>
      <c r="K11" s="65" t="s">
        <v>4</v>
      </c>
      <c r="L11" s="23"/>
      <c r="M11" s="43"/>
      <c r="N11" s="41"/>
    </row>
    <row r="12" spans="2:14" ht="12.75">
      <c r="B12" s="22" t="s">
        <v>29</v>
      </c>
      <c r="C12" s="105">
        <f>(Main!C10)</f>
        <v>20</v>
      </c>
      <c r="D12" s="105">
        <f>(Main!D10)</f>
        <v>-4</v>
      </c>
      <c r="E12" s="105">
        <f>(Main!E10)</f>
        <v>15.75</v>
      </c>
      <c r="F12" s="23" t="s">
        <v>12</v>
      </c>
      <c r="G12" s="17"/>
      <c r="H12" s="14" t="s">
        <v>29</v>
      </c>
      <c r="I12" s="106">
        <f>(Main!C13)</f>
        <v>23.98</v>
      </c>
      <c r="J12" s="106">
        <f>(Main!D13)</f>
        <v>24</v>
      </c>
      <c r="K12" s="106">
        <f>(Main!E13)</f>
        <v>7.5</v>
      </c>
      <c r="L12" s="23" t="s">
        <v>12</v>
      </c>
      <c r="M12" s="43"/>
      <c r="N12" s="41"/>
    </row>
    <row r="13" spans="2:14" ht="12.75">
      <c r="B13" s="22" t="s">
        <v>30</v>
      </c>
      <c r="C13" s="105">
        <f>(Main!C11)</f>
        <v>0</v>
      </c>
      <c r="D13" s="105">
        <f>(Main!D11)</f>
        <v>-4</v>
      </c>
      <c r="E13" s="105">
        <f>(Main!E11)</f>
        <v>18</v>
      </c>
      <c r="F13" s="23" t="s">
        <v>12</v>
      </c>
      <c r="G13" s="17"/>
      <c r="H13" s="14" t="s">
        <v>30</v>
      </c>
      <c r="I13" s="106">
        <f>(Main!C14)</f>
        <v>-2</v>
      </c>
      <c r="J13" s="106">
        <f>(Main!D14)</f>
        <v>24</v>
      </c>
      <c r="K13" s="106">
        <f>(Main!E14)</f>
        <v>7.5</v>
      </c>
      <c r="L13" s="23" t="s">
        <v>12</v>
      </c>
      <c r="M13" s="43"/>
      <c r="N13" s="41"/>
    </row>
    <row r="14" spans="2:14" ht="12.75">
      <c r="B14" s="22" t="s">
        <v>15</v>
      </c>
      <c r="C14" s="50">
        <f>(C12-C13)</f>
        <v>20</v>
      </c>
      <c r="D14" s="50">
        <f>(D12-D13)</f>
        <v>0</v>
      </c>
      <c r="E14" s="50">
        <f>(E12-E13)</f>
        <v>-2.25</v>
      </c>
      <c r="F14" s="23" t="s">
        <v>12</v>
      </c>
      <c r="G14" s="17"/>
      <c r="H14" s="42" t="s">
        <v>15</v>
      </c>
      <c r="I14" s="51">
        <f>(I12-I13)</f>
        <v>25.98</v>
      </c>
      <c r="J14" s="51">
        <f>(J12-J13)</f>
        <v>0</v>
      </c>
      <c r="K14" s="51">
        <f>(K12-K13)</f>
        <v>0</v>
      </c>
      <c r="L14" s="23" t="s">
        <v>12</v>
      </c>
      <c r="M14" s="43"/>
      <c r="N14" s="41"/>
    </row>
    <row r="15" spans="2:14" ht="12.75">
      <c r="B15" s="52" t="s">
        <v>54</v>
      </c>
      <c r="C15" s="42">
        <f>(C14^2+D14^2+E14^2)^(0.5)</f>
        <v>20.126164562578733</v>
      </c>
      <c r="D15" s="13" t="s">
        <v>12</v>
      </c>
      <c r="E15" s="9"/>
      <c r="F15" s="23"/>
      <c r="G15" s="17"/>
      <c r="H15" s="42" t="s">
        <v>16</v>
      </c>
      <c r="I15" s="42">
        <f>(I14^2+J14^2+K14^2)^(0.5)</f>
        <v>25.98</v>
      </c>
      <c r="J15" s="13" t="s">
        <v>12</v>
      </c>
      <c r="K15" s="9"/>
      <c r="L15" s="23"/>
      <c r="M15" s="43"/>
      <c r="N15" s="41"/>
    </row>
    <row r="16" spans="2:14" ht="12.75">
      <c r="B16" s="52" t="s">
        <v>17</v>
      </c>
      <c r="C16" s="42">
        <f>(C14/$C$15)</f>
        <v>0.9937313161588018</v>
      </c>
      <c r="D16" s="42">
        <f>(D14/$C$15)</f>
        <v>0</v>
      </c>
      <c r="E16" s="42">
        <f>(E14/$C$15)</f>
        <v>-0.1117947730678652</v>
      </c>
      <c r="F16" s="41">
        <f>(C16^2+D16^2+E16^2)^0.5</f>
        <v>1</v>
      </c>
      <c r="G16" s="17"/>
      <c r="H16" s="42" t="s">
        <v>17</v>
      </c>
      <c r="I16" s="42">
        <f>(I14/$I$15)</f>
        <v>1</v>
      </c>
      <c r="J16" s="42">
        <f>(J14/$I$15)</f>
        <v>0</v>
      </c>
      <c r="K16" s="42">
        <f>(K14/$I$15)</f>
        <v>0</v>
      </c>
      <c r="L16" s="41">
        <f>(I16^2+J16^2+K16^2)^0.5</f>
        <v>1</v>
      </c>
      <c r="M16" s="43"/>
      <c r="N16" s="41"/>
    </row>
    <row r="17" spans="2:14" ht="12.75">
      <c r="B17" s="52" t="s">
        <v>18</v>
      </c>
      <c r="C17" s="42" t="str">
        <f>IF(ISERROR(INTERCEPT(C12:C13,D12:D13)),"Parallel",INTERCEPT(C12:C13,D12:D13))</f>
        <v>Parallel</v>
      </c>
      <c r="D17" s="42">
        <f>INTERCEPT(D12:D13,C12:C13)</f>
        <v>-4</v>
      </c>
      <c r="E17" s="42">
        <f>INTERCEPT(E12:E13,C12:C13)</f>
        <v>18</v>
      </c>
      <c r="F17" s="23" t="s">
        <v>12</v>
      </c>
      <c r="G17" s="17"/>
      <c r="H17" s="42" t="s">
        <v>18</v>
      </c>
      <c r="I17" s="42" t="str">
        <f>IF(ISERROR(INTERCEPT(I12:I13,J12:J13)),"Parallel",INTERCEPT(I12:I13,J12:J13))</f>
        <v>Parallel</v>
      </c>
      <c r="J17" s="42">
        <f>INTERCEPT(J12:J13,I12:I13)</f>
        <v>24</v>
      </c>
      <c r="K17" s="42">
        <f>INTERCEPT(K12:K13,I12:I13)</f>
        <v>7.5</v>
      </c>
      <c r="L17" s="23" t="s">
        <v>12</v>
      </c>
      <c r="M17" s="43"/>
      <c r="N17" s="41"/>
    </row>
    <row r="18" spans="2:14" ht="12.75">
      <c r="B18" s="52" t="s">
        <v>20</v>
      </c>
      <c r="C18" s="42">
        <f>(Material!$C15*C16)</f>
        <v>2285.714285714286</v>
      </c>
      <c r="D18" s="42">
        <f>(Material!$C15*D16)</f>
        <v>0</v>
      </c>
      <c r="E18" s="42">
        <f>(Material!$C15*E16)</f>
        <v>-257.1428571428571</v>
      </c>
      <c r="F18" s="23" t="s">
        <v>13</v>
      </c>
      <c r="G18" s="17"/>
      <c r="H18" s="42" t="s">
        <v>19</v>
      </c>
      <c r="I18" s="42" t="str">
        <f>(I17)</f>
        <v>Parallel</v>
      </c>
      <c r="J18" s="42">
        <v>0</v>
      </c>
      <c r="K18" s="42" t="str">
        <f>IF(ISERROR(I21*I17+K17),"N/A",(I21*I17+K17))</f>
        <v>N/A</v>
      </c>
      <c r="L18" s="23" t="s">
        <v>12</v>
      </c>
      <c r="M18" s="43"/>
      <c r="N18" s="41"/>
    </row>
    <row r="19" spans="2:14" ht="12.75">
      <c r="B19" s="52" t="s">
        <v>101</v>
      </c>
      <c r="C19" s="54">
        <f>(D12-D13)/(C12-C13)</f>
        <v>0</v>
      </c>
      <c r="D19" s="41" t="s">
        <v>11</v>
      </c>
      <c r="E19" s="42"/>
      <c r="F19" s="23"/>
      <c r="G19" s="17"/>
      <c r="H19" s="42" t="s">
        <v>20</v>
      </c>
      <c r="I19" s="42">
        <f>(Material!$I15*I16)</f>
        <v>-2742.8571428571427</v>
      </c>
      <c r="J19" s="42">
        <f>(Material!$I15*J16)</f>
        <v>0</v>
      </c>
      <c r="K19" s="42">
        <f>(Material!$I15*K16)</f>
        <v>0</v>
      </c>
      <c r="L19" s="23" t="s">
        <v>13</v>
      </c>
      <c r="M19" s="43"/>
      <c r="N19" s="41"/>
    </row>
    <row r="20" spans="2:14" ht="12.75">
      <c r="B20" s="52" t="s">
        <v>100</v>
      </c>
      <c r="C20" s="54">
        <f>(E12-E13)/(C12-C13)</f>
        <v>-0.1125</v>
      </c>
      <c r="D20" s="41" t="s">
        <v>11</v>
      </c>
      <c r="E20" s="42"/>
      <c r="F20" s="23"/>
      <c r="G20" s="17"/>
      <c r="H20" s="42" t="s">
        <v>101</v>
      </c>
      <c r="I20" s="54">
        <f>(J12-J13)/(I12-I13)</f>
        <v>0</v>
      </c>
      <c r="J20" s="41" t="s">
        <v>11</v>
      </c>
      <c r="K20" s="9"/>
      <c r="L20" s="23"/>
      <c r="M20" s="43"/>
      <c r="N20" s="41"/>
    </row>
    <row r="21" spans="2:39" ht="12.75">
      <c r="B21" s="22"/>
      <c r="G21" s="17"/>
      <c r="H21" s="42" t="s">
        <v>100</v>
      </c>
      <c r="I21" s="54">
        <f>(K12-K13)/(I12-I13)</f>
        <v>0</v>
      </c>
      <c r="J21" s="41" t="s">
        <v>11</v>
      </c>
      <c r="K21" s="9"/>
      <c r="L21" s="23"/>
      <c r="M21" s="43"/>
      <c r="N21" s="41"/>
      <c r="AF21" s="10"/>
      <c r="AG21" s="10"/>
      <c r="AH21" s="10"/>
      <c r="AM21" s="10"/>
    </row>
    <row r="22" spans="2:39" s="15" customFormat="1" ht="12.75">
      <c r="B22" s="77"/>
      <c r="H22" s="78"/>
      <c r="N22" s="79"/>
      <c r="AF22" s="10"/>
      <c r="AG22" s="10"/>
      <c r="AH22" s="10"/>
      <c r="AM22" s="10"/>
    </row>
    <row r="23" spans="2:39" s="15" customFormat="1" ht="15.75">
      <c r="B23" s="90" t="s">
        <v>109</v>
      </c>
      <c r="C23" s="87" t="s">
        <v>1</v>
      </c>
      <c r="D23" s="68" t="s">
        <v>0</v>
      </c>
      <c r="E23" s="68" t="s">
        <v>4</v>
      </c>
      <c r="F23" s="69"/>
      <c r="G23" s="70"/>
      <c r="H23" s="71"/>
      <c r="I23" s="72"/>
      <c r="J23" s="73"/>
      <c r="K23" s="74"/>
      <c r="L23" s="75"/>
      <c r="M23" s="76"/>
      <c r="N23" s="41"/>
      <c r="AF23" s="10"/>
      <c r="AG23" s="10"/>
      <c r="AH23" s="10"/>
      <c r="AM23" s="10"/>
    </row>
    <row r="24" spans="2:39" s="15" customFormat="1" ht="12.75">
      <c r="B24" s="22" t="s">
        <v>29</v>
      </c>
      <c r="C24" s="105">
        <f>(Main!C16)</f>
        <v>-8</v>
      </c>
      <c r="D24" s="105">
        <f>(Main!D16)</f>
        <v>-24</v>
      </c>
      <c r="E24" s="105">
        <f>(Main!E16)</f>
        <v>13</v>
      </c>
      <c r="F24" s="23" t="s">
        <v>12</v>
      </c>
      <c r="G24" s="14"/>
      <c r="H24" s="42"/>
      <c r="I24" s="10"/>
      <c r="J24" s="41"/>
      <c r="K24" s="9"/>
      <c r="L24" s="23"/>
      <c r="M24" s="43"/>
      <c r="N24" s="41"/>
      <c r="AF24" s="10"/>
      <c r="AG24" s="10"/>
      <c r="AH24" s="10"/>
      <c r="AM24" s="10"/>
    </row>
    <row r="25" spans="2:39" s="15" customFormat="1" ht="12.75">
      <c r="B25" s="22" t="s">
        <v>30</v>
      </c>
      <c r="C25" s="105">
        <f>(Main!C17)</f>
        <v>-8</v>
      </c>
      <c r="D25" s="105">
        <f>(Main!D17)</f>
        <v>24</v>
      </c>
      <c r="E25" s="105">
        <f>(Main!E17)</f>
        <v>13</v>
      </c>
      <c r="F25" s="23" t="s">
        <v>12</v>
      </c>
      <c r="G25" s="14"/>
      <c r="H25" s="42"/>
      <c r="I25" s="10"/>
      <c r="J25" s="41"/>
      <c r="K25" s="9"/>
      <c r="L25" s="23"/>
      <c r="M25" s="43"/>
      <c r="N25" s="41"/>
      <c r="AF25" s="10"/>
      <c r="AG25" s="10"/>
      <c r="AH25" s="10"/>
      <c r="AM25" s="10"/>
    </row>
    <row r="26" spans="2:39" s="15" customFormat="1" ht="12.75">
      <c r="B26" s="22" t="s">
        <v>15</v>
      </c>
      <c r="C26" s="50">
        <f>(C24-C25)</f>
        <v>0</v>
      </c>
      <c r="D26" s="50">
        <f>(D24-D25)</f>
        <v>-48</v>
      </c>
      <c r="E26" s="50">
        <f>(E24-E25)</f>
        <v>0</v>
      </c>
      <c r="F26" s="81" t="s">
        <v>12</v>
      </c>
      <c r="G26" s="14"/>
      <c r="H26" s="42"/>
      <c r="I26" s="10"/>
      <c r="J26" s="41"/>
      <c r="K26" s="9"/>
      <c r="L26" s="23"/>
      <c r="M26" s="43"/>
      <c r="N26" s="41"/>
      <c r="AF26" s="10"/>
      <c r="AG26" s="10"/>
      <c r="AH26" s="10"/>
      <c r="AM26" s="10"/>
    </row>
    <row r="27" spans="2:39" s="15" customFormat="1" ht="12.75">
      <c r="B27" s="52" t="s">
        <v>54</v>
      </c>
      <c r="C27" s="42">
        <f>(C26^2+D26^2+E26^2)^(0.5)</f>
        <v>48</v>
      </c>
      <c r="D27" s="13" t="s">
        <v>12</v>
      </c>
      <c r="E27" s="9"/>
      <c r="F27" s="23"/>
      <c r="G27" s="14"/>
      <c r="H27" s="42"/>
      <c r="I27" s="10"/>
      <c r="J27" s="41"/>
      <c r="K27" s="9"/>
      <c r="L27" s="23"/>
      <c r="M27" s="43"/>
      <c r="N27" s="41"/>
      <c r="AF27" s="10"/>
      <c r="AG27" s="10"/>
      <c r="AH27" s="10"/>
      <c r="AM27" s="10"/>
    </row>
    <row r="28" spans="2:39" s="15" customFormat="1" ht="12.75">
      <c r="B28" s="52" t="s">
        <v>17</v>
      </c>
      <c r="C28" s="42">
        <f>(C26/$C$27)</f>
        <v>0</v>
      </c>
      <c r="D28" s="42">
        <f>(D26/$C$27)</f>
        <v>-1</v>
      </c>
      <c r="E28" s="42">
        <f>(E26/$C$27)</f>
        <v>0</v>
      </c>
      <c r="F28" s="41">
        <f>(C28^2+D28^2+E28^2)^0.5</f>
        <v>1</v>
      </c>
      <c r="G28" s="14"/>
      <c r="H28" s="42"/>
      <c r="I28" s="10"/>
      <c r="J28" s="41"/>
      <c r="K28" s="9"/>
      <c r="L28" s="23"/>
      <c r="M28" s="43"/>
      <c r="N28" s="41"/>
      <c r="AF28" s="10"/>
      <c r="AG28" s="10"/>
      <c r="AH28" s="10"/>
      <c r="AM28" s="10"/>
    </row>
    <row r="29" spans="2:39" s="15" customFormat="1" ht="12.75">
      <c r="B29" s="52" t="s">
        <v>19</v>
      </c>
      <c r="C29" s="42">
        <f>AVERAGE(C24,C25)</f>
        <v>-8</v>
      </c>
      <c r="D29" s="42">
        <f>AVERAGE(D24,D25)</f>
        <v>0</v>
      </c>
      <c r="E29" s="42">
        <f>AVERAGE(E24,E25)</f>
        <v>13</v>
      </c>
      <c r="F29" s="23" t="s">
        <v>12</v>
      </c>
      <c r="G29" s="14"/>
      <c r="H29" s="42"/>
      <c r="I29" s="10"/>
      <c r="J29" s="41"/>
      <c r="K29" s="9"/>
      <c r="L29" s="23"/>
      <c r="M29" s="43"/>
      <c r="N29" s="41"/>
      <c r="AF29" s="10"/>
      <c r="AG29" s="10"/>
      <c r="AH29" s="10"/>
      <c r="AM29" s="10"/>
    </row>
    <row r="30" spans="2:39" s="15" customFormat="1" ht="12.75">
      <c r="B30" s="52" t="s">
        <v>20</v>
      </c>
      <c r="C30" s="42">
        <f>(Material!$C27*C28)</f>
        <v>0</v>
      </c>
      <c r="D30" s="42">
        <f>(Material!$C27*D28)</f>
        <v>-29000000</v>
      </c>
      <c r="E30" s="42">
        <f>(Material!$C27*E28)</f>
        <v>0</v>
      </c>
      <c r="F30" s="23" t="s">
        <v>13</v>
      </c>
      <c r="G30" s="14"/>
      <c r="H30" s="42"/>
      <c r="I30" s="10"/>
      <c r="J30" s="41"/>
      <c r="K30" s="9"/>
      <c r="L30" s="23"/>
      <c r="M30" s="43"/>
      <c r="N30" s="41"/>
      <c r="AF30" s="10"/>
      <c r="AG30" s="10"/>
      <c r="AH30" s="10"/>
      <c r="AM30" s="10"/>
    </row>
    <row r="31" spans="2:39" s="15" customFormat="1" ht="12.75">
      <c r="B31" s="52" t="s">
        <v>101</v>
      </c>
      <c r="C31" s="54" t="e">
        <f>(D24-D25)/(C24-C25)</f>
        <v>#DIV/0!</v>
      </c>
      <c r="D31" s="41" t="s">
        <v>11</v>
      </c>
      <c r="E31" s="42"/>
      <c r="F31" s="23"/>
      <c r="G31" s="14"/>
      <c r="H31" s="42"/>
      <c r="I31" s="10"/>
      <c r="J31" s="41"/>
      <c r="K31" s="9"/>
      <c r="L31" s="23"/>
      <c r="M31" s="43"/>
      <c r="N31" s="41"/>
      <c r="AF31" s="10"/>
      <c r="AG31" s="10"/>
      <c r="AH31" s="10"/>
      <c r="AM31" s="10"/>
    </row>
    <row r="32" spans="2:39" s="15" customFormat="1" ht="12.75">
      <c r="B32" s="80" t="s">
        <v>100</v>
      </c>
      <c r="C32" s="82" t="e">
        <f>(E24-E25)/(C24-C25)</f>
        <v>#DIV/0!</v>
      </c>
      <c r="D32" s="46" t="s">
        <v>11</v>
      </c>
      <c r="E32" s="47"/>
      <c r="F32" s="24"/>
      <c r="G32" s="21"/>
      <c r="H32" s="47"/>
      <c r="I32" s="53"/>
      <c r="J32" s="46"/>
      <c r="K32" s="27"/>
      <c r="L32" s="24"/>
      <c r="M32" s="49"/>
      <c r="N32" s="41"/>
      <c r="AF32" s="10"/>
      <c r="AG32" s="10"/>
      <c r="AH32" s="10"/>
      <c r="AM32" s="10"/>
    </row>
    <row r="33" spans="2:14" ht="15.75">
      <c r="B33" s="64" t="s">
        <v>98</v>
      </c>
      <c r="C33" s="27"/>
      <c r="D33" s="11"/>
      <c r="E33" s="11"/>
      <c r="F33" s="11"/>
      <c r="G33" s="11"/>
      <c r="H33" s="11"/>
      <c r="I33" s="46"/>
      <c r="J33" s="11"/>
      <c r="K33" s="11"/>
      <c r="L33" s="11"/>
      <c r="M33" s="11"/>
      <c r="N33" s="41"/>
    </row>
    <row r="34" spans="2:14" ht="12.75">
      <c r="B34" s="22" t="s">
        <v>7</v>
      </c>
      <c r="C34" s="55">
        <f>((C39/C38)/(F6/C4))*100</f>
        <v>40.178571428571416</v>
      </c>
      <c r="D34" s="16" t="s">
        <v>6</v>
      </c>
      <c r="E34" s="16"/>
      <c r="F34" s="16"/>
      <c r="G34" s="15"/>
      <c r="H34" s="15"/>
      <c r="I34" s="41"/>
      <c r="J34" s="56"/>
      <c r="K34" s="15"/>
      <c r="L34" s="15"/>
      <c r="M34" s="18"/>
      <c r="N34" s="41"/>
    </row>
    <row r="35" spans="2:14" ht="12.75">
      <c r="B35" s="52" t="s">
        <v>77</v>
      </c>
      <c r="C35" s="83">
        <f>IF(I17="Parallel",I21,(K18-E29)/(I17-C29))</f>
        <v>0</v>
      </c>
      <c r="D35" s="41" t="s">
        <v>10</v>
      </c>
      <c r="E35" s="16"/>
      <c r="F35" s="16"/>
      <c r="G35" s="15"/>
      <c r="H35" s="15"/>
      <c r="I35" s="41"/>
      <c r="J35" s="42"/>
      <c r="K35" s="10"/>
      <c r="L35" s="15"/>
      <c r="M35" s="18"/>
      <c r="N35" s="41"/>
    </row>
    <row r="36" spans="2:14" ht="12.75">
      <c r="B36" s="22" t="s">
        <v>79</v>
      </c>
      <c r="C36" s="55">
        <f>(DEGREES(ATAN(C35)))</f>
        <v>0</v>
      </c>
      <c r="D36" s="41" t="s">
        <v>9</v>
      </c>
      <c r="E36" s="15"/>
      <c r="F36" s="16"/>
      <c r="G36" s="15"/>
      <c r="H36" s="15"/>
      <c r="I36" s="15"/>
      <c r="J36" s="15"/>
      <c r="K36" s="15"/>
      <c r="L36" s="15"/>
      <c r="M36" s="18"/>
      <c r="N36" s="41"/>
    </row>
    <row r="37" spans="2:14" ht="12.75">
      <c r="B37" s="22" t="s">
        <v>78</v>
      </c>
      <c r="C37" s="55">
        <f>(C35*-C29)+E29</f>
        <v>13</v>
      </c>
      <c r="D37" s="41" t="s">
        <v>12</v>
      </c>
      <c r="F37" s="15"/>
      <c r="G37" s="15"/>
      <c r="H37" s="15"/>
      <c r="I37" s="15"/>
      <c r="J37" s="15"/>
      <c r="K37" s="15"/>
      <c r="L37" s="15"/>
      <c r="M37" s="18"/>
      <c r="N37" s="41"/>
    </row>
    <row r="38" spans="2:39" s="10" customFormat="1" ht="12.75">
      <c r="B38" s="22" t="s">
        <v>42</v>
      </c>
      <c r="C38" s="66">
        <f>(E17-K17)*(-1/(C20-I21))</f>
        <v>93.33333333333334</v>
      </c>
      <c r="D38" s="15" t="s">
        <v>12</v>
      </c>
      <c r="E38" s="15"/>
      <c r="F38" s="15"/>
      <c r="G38" s="15"/>
      <c r="H38" s="15"/>
      <c r="I38" s="15"/>
      <c r="J38" s="15"/>
      <c r="K38" s="15"/>
      <c r="M38" s="18"/>
      <c r="N38" s="41"/>
      <c r="AF38" s="4"/>
      <c r="AG38" s="4"/>
      <c r="AH38" s="4"/>
      <c r="AM38" s="4"/>
    </row>
    <row r="39" spans="2:39" s="10" customFormat="1" ht="12.75">
      <c r="B39" s="26" t="s">
        <v>53</v>
      </c>
      <c r="C39" s="66">
        <f>(C20*C38+E17)</f>
        <v>7.499999999999998</v>
      </c>
      <c r="D39" s="11" t="s">
        <v>12</v>
      </c>
      <c r="E39" s="11"/>
      <c r="F39" s="11"/>
      <c r="G39" s="11"/>
      <c r="H39" s="11"/>
      <c r="I39" s="11"/>
      <c r="J39" s="11"/>
      <c r="K39" s="11"/>
      <c r="L39" s="53"/>
      <c r="M39" s="19"/>
      <c r="N39" s="41"/>
      <c r="AF39" s="4"/>
      <c r="AG39" s="4"/>
      <c r="AH39" s="4"/>
      <c r="AM39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spans="2:4" ht="12.75">
      <c r="B105" s="4"/>
      <c r="D105" s="10"/>
    </row>
    <row r="106" spans="2:4" ht="12.75">
      <c r="B106" s="4"/>
      <c r="D106" s="10"/>
    </row>
    <row r="107" spans="2:4" ht="12.75">
      <c r="B107" s="4"/>
      <c r="D107" s="10"/>
    </row>
    <row r="108" spans="2:4" ht="12.75">
      <c r="B108" s="4"/>
      <c r="D108" s="10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59" r:id="rId3"/>
  <ignoredErrors>
    <ignoredError sqref="D28" formula="1"/>
    <ignoredError sqref="C12:C13 D12:D13 E12:E1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A1">
      <selection activeCell="A1" sqref="A1:IV1"/>
    </sheetView>
  </sheetViews>
  <sheetFormatPr defaultColWidth="9.140625" defaultRowHeight="12.75"/>
  <cols>
    <col min="1" max="1" width="1.7109375" style="38" customWidth="1"/>
    <col min="2" max="2" width="22.7109375" style="38" bestFit="1" customWidth="1"/>
    <col min="3" max="3" width="14.421875" style="38" bestFit="1" customWidth="1"/>
    <col min="4" max="4" width="14.7109375" style="38" bestFit="1" customWidth="1"/>
    <col min="5" max="5" width="10.140625" style="38" bestFit="1" customWidth="1"/>
    <col min="6" max="6" width="27.8515625" style="38" bestFit="1" customWidth="1"/>
    <col min="7" max="7" width="9.140625" style="38" customWidth="1"/>
    <col min="8" max="8" width="18.421875" style="38" bestFit="1" customWidth="1"/>
    <col min="9" max="9" width="16.00390625" style="38" bestFit="1" customWidth="1"/>
    <col min="10" max="10" width="14.7109375" style="38" bestFit="1" customWidth="1"/>
    <col min="11" max="11" width="10.140625" style="38" bestFit="1" customWidth="1"/>
    <col min="12" max="12" width="22.8515625" style="38" bestFit="1" customWidth="1"/>
    <col min="13" max="16384" width="9.140625" style="38" customWidth="1"/>
  </cols>
  <sheetData>
    <row r="1" spans="2:12" s="4" customFormat="1" ht="20.25">
      <c r="B1" s="28" t="s">
        <v>108</v>
      </c>
      <c r="E1" s="3"/>
      <c r="F1" s="3"/>
      <c r="K1" s="84"/>
      <c r="L1" s="2" t="s">
        <v>116</v>
      </c>
    </row>
    <row r="2" spans="2:14" s="125" customFormat="1" ht="15.75">
      <c r="B2" s="126" t="s">
        <v>45</v>
      </c>
      <c r="C2" s="127"/>
      <c r="D2" s="128"/>
      <c r="E2" s="128"/>
      <c r="F2" s="128"/>
      <c r="G2" s="128"/>
      <c r="H2" s="129"/>
      <c r="I2" s="130"/>
      <c r="J2" s="131"/>
      <c r="K2" s="132"/>
      <c r="L2" s="130"/>
      <c r="M2" s="130"/>
      <c r="N2" s="133"/>
    </row>
    <row r="3" spans="2:14" s="125" customFormat="1" ht="15.75">
      <c r="B3" s="91" t="s">
        <v>107</v>
      </c>
      <c r="C3" s="134"/>
      <c r="D3" s="133"/>
      <c r="E3" s="135"/>
      <c r="F3" s="136"/>
      <c r="G3" s="137"/>
      <c r="H3" s="86" t="s">
        <v>5</v>
      </c>
      <c r="I3" s="135"/>
      <c r="J3" s="135"/>
      <c r="K3" s="135"/>
      <c r="L3" s="135"/>
      <c r="M3" s="138"/>
      <c r="N3" s="133"/>
    </row>
    <row r="4" spans="2:14" s="125" customFormat="1" ht="12.75">
      <c r="B4" s="139" t="s">
        <v>71</v>
      </c>
      <c r="C4" s="8">
        <v>1</v>
      </c>
      <c r="D4" s="136" t="s">
        <v>12</v>
      </c>
      <c r="E4" s="135"/>
      <c r="F4" s="136"/>
      <c r="G4" s="137"/>
      <c r="H4" s="135" t="s">
        <v>71</v>
      </c>
      <c r="I4" s="8">
        <v>1.5</v>
      </c>
      <c r="J4" s="136" t="s">
        <v>12</v>
      </c>
      <c r="K4" s="135"/>
      <c r="L4" s="135"/>
      <c r="M4" s="138"/>
      <c r="N4" s="133"/>
    </row>
    <row r="5" spans="2:14" s="125" customFormat="1" ht="12.75">
      <c r="B5" s="139" t="s">
        <v>72</v>
      </c>
      <c r="C5" s="8">
        <v>0.12</v>
      </c>
      <c r="D5" s="136" t="s">
        <v>95</v>
      </c>
      <c r="E5" s="140">
        <f>LOOKUP(C6,B24:C46)</f>
        <v>29700000</v>
      </c>
      <c r="F5" s="136" t="s">
        <v>74</v>
      </c>
      <c r="G5" s="137"/>
      <c r="H5" s="135" t="s">
        <v>72</v>
      </c>
      <c r="I5" s="8">
        <v>0.12</v>
      </c>
      <c r="J5" s="136" t="s">
        <v>95</v>
      </c>
      <c r="K5" s="140">
        <f>LOOKUP(I6,B24:C46)</f>
        <v>29700000</v>
      </c>
      <c r="L5" s="136" t="s">
        <v>74</v>
      </c>
      <c r="M5" s="138"/>
      <c r="N5" s="133"/>
    </row>
    <row r="6" spans="2:13" s="125" customFormat="1" ht="12.75">
      <c r="B6" s="139" t="s">
        <v>46</v>
      </c>
      <c r="C6" s="8" t="s">
        <v>122</v>
      </c>
      <c r="D6" s="141"/>
      <c r="E6" s="140">
        <f>LOOKUP(C6,B24:B46,D24:D46)</f>
        <v>110000</v>
      </c>
      <c r="F6" s="136" t="s">
        <v>96</v>
      </c>
      <c r="G6" s="137"/>
      <c r="H6" s="135" t="s">
        <v>46</v>
      </c>
      <c r="I6" s="8" t="s">
        <v>122</v>
      </c>
      <c r="K6" s="140">
        <f>LOOKUP(I6,B24:B46,D24:D46)</f>
        <v>110000</v>
      </c>
      <c r="L6" s="136" t="s">
        <v>96</v>
      </c>
      <c r="M6" s="133"/>
    </row>
    <row r="7" spans="2:14" s="125" customFormat="1" ht="12.75">
      <c r="B7" s="139" t="s">
        <v>25</v>
      </c>
      <c r="C7" s="7">
        <v>20000</v>
      </c>
      <c r="D7" s="142" t="s">
        <v>13</v>
      </c>
      <c r="E7" s="143">
        <f>LOOKUP(C6,B24:B46,E24:E46)</f>
        <v>0.284</v>
      </c>
      <c r="F7" s="136" t="s">
        <v>97</v>
      </c>
      <c r="G7" s="137"/>
      <c r="H7" s="135" t="s">
        <v>25</v>
      </c>
      <c r="I7" s="7">
        <v>55000</v>
      </c>
      <c r="J7" s="142" t="s">
        <v>13</v>
      </c>
      <c r="K7" s="143">
        <f>LOOKUP(I6,B24:B46,E24:E46)</f>
        <v>0.284</v>
      </c>
      <c r="L7" s="136" t="s">
        <v>97</v>
      </c>
      <c r="M7" s="138"/>
      <c r="N7" s="133"/>
    </row>
    <row r="8" spans="2:14" s="125" customFormat="1" ht="12.75">
      <c r="B8" s="144" t="s">
        <v>73</v>
      </c>
      <c r="C8" s="145">
        <f>((PI()/64)*(C4^4-(C4-2*C5)^4))</f>
        <v>0.0327107653640015</v>
      </c>
      <c r="D8" s="133" t="s">
        <v>14</v>
      </c>
      <c r="E8" s="134"/>
      <c r="F8" s="136"/>
      <c r="G8" s="137"/>
      <c r="H8" s="146" t="s">
        <v>73</v>
      </c>
      <c r="I8" s="145">
        <f>((PI()/64)*(I4^4-(I4-2*I5)^4))</f>
        <v>0.12478142126275756</v>
      </c>
      <c r="J8" s="133" t="s">
        <v>14</v>
      </c>
      <c r="K8" s="134"/>
      <c r="L8" s="135"/>
      <c r="M8" s="138"/>
      <c r="N8" s="133"/>
    </row>
    <row r="9" spans="2:13" s="125" customFormat="1" ht="12.75">
      <c r="B9" s="144" t="s">
        <v>35</v>
      </c>
      <c r="C9" s="145">
        <f>(PI()*(C4^2-(C4-2*C5)^2)/4)</f>
        <v>0.33175218421908215</v>
      </c>
      <c r="D9" s="133" t="s">
        <v>39</v>
      </c>
      <c r="E9" s="147"/>
      <c r="F9" s="136"/>
      <c r="G9" s="137"/>
      <c r="H9" s="144" t="s">
        <v>35</v>
      </c>
      <c r="I9" s="145">
        <f>(PI()*(I4^2-(I4-2*I5)^2)/4)</f>
        <v>0.5202477434344697</v>
      </c>
      <c r="J9" s="133" t="s">
        <v>39</v>
      </c>
      <c r="K9" s="135"/>
      <c r="L9" s="135"/>
      <c r="M9" s="138"/>
    </row>
    <row r="10" spans="2:13" s="125" customFormat="1" ht="12.75">
      <c r="B10" s="144" t="s">
        <v>37</v>
      </c>
      <c r="C10" s="148">
        <f>(E6*C9)</f>
        <v>36492.74026409903</v>
      </c>
      <c r="D10" s="133" t="s">
        <v>13</v>
      </c>
      <c r="E10" s="134"/>
      <c r="F10" s="134"/>
      <c r="G10" s="137"/>
      <c r="H10" s="144" t="s">
        <v>37</v>
      </c>
      <c r="I10" s="148">
        <f>(K6*I9)</f>
        <v>57227.251777791666</v>
      </c>
      <c r="J10" s="133" t="s">
        <v>13</v>
      </c>
      <c r="K10" s="135"/>
      <c r="L10" s="134"/>
      <c r="M10" s="138"/>
    </row>
    <row r="11" spans="2:13" s="125" customFormat="1" ht="12.75">
      <c r="B11" s="144" t="s">
        <v>38</v>
      </c>
      <c r="C11" s="148">
        <f>(PI()^2*E5*C8)/(Calculations!C15^2)</f>
        <v>23671.45001042222</v>
      </c>
      <c r="D11" s="133" t="s">
        <v>13</v>
      </c>
      <c r="H11" s="144" t="s">
        <v>38</v>
      </c>
      <c r="I11" s="148">
        <f>(PI()^2*K5*I8)/(Calculations!I15^2)</f>
        <v>54191.08284683395</v>
      </c>
      <c r="J11" s="133" t="s">
        <v>13</v>
      </c>
      <c r="L11" s="134"/>
      <c r="M11" s="138"/>
    </row>
    <row r="12" spans="2:13" s="125" customFormat="1" ht="12.75">
      <c r="B12" s="144" t="s">
        <v>36</v>
      </c>
      <c r="C12" s="148">
        <f>(E6*C8)/(0.125*C4*Calculations!C15)</f>
        <v>1430.251324380162</v>
      </c>
      <c r="D12" s="133" t="s">
        <v>13</v>
      </c>
      <c r="H12" s="144" t="s">
        <v>36</v>
      </c>
      <c r="I12" s="148">
        <f>(K6*I8)/(0.125*I4*Calculations!I15)</f>
        <v>2817.7482861490034</v>
      </c>
      <c r="J12" s="133" t="s">
        <v>13</v>
      </c>
      <c r="L12" s="134"/>
      <c r="M12" s="138"/>
    </row>
    <row r="13" spans="2:13" s="125" customFormat="1" ht="12.75">
      <c r="B13" s="144" t="s">
        <v>54</v>
      </c>
      <c r="C13" s="149">
        <f>Calculations!C15</f>
        <v>20.126164562578733</v>
      </c>
      <c r="D13" s="136" t="s">
        <v>12</v>
      </c>
      <c r="H13" s="139" t="s">
        <v>54</v>
      </c>
      <c r="I13" s="150">
        <f>Calculations!I15</f>
        <v>25.98</v>
      </c>
      <c r="J13" s="136" t="s">
        <v>12</v>
      </c>
      <c r="L13" s="133"/>
      <c r="M13" s="138"/>
    </row>
    <row r="14" spans="2:13" s="125" customFormat="1" ht="12.75">
      <c r="B14" s="144" t="s">
        <v>69</v>
      </c>
      <c r="C14" s="149">
        <f>(Calculations!C15*C9*E7)</f>
        <v>1.8962393312190438</v>
      </c>
      <c r="D14" s="136" t="s">
        <v>13</v>
      </c>
      <c r="G14" s="137"/>
      <c r="H14" s="144" t="s">
        <v>69</v>
      </c>
      <c r="I14" s="149">
        <f>(Calculations!I15*I9*K7)</f>
        <v>3.838554330337416</v>
      </c>
      <c r="J14" s="136" t="s">
        <v>13</v>
      </c>
      <c r="M14" s="138"/>
    </row>
    <row r="15" spans="2:13" s="125" customFormat="1" ht="12.75">
      <c r="B15" s="139" t="s">
        <v>21</v>
      </c>
      <c r="C15" s="140">
        <f>((Calculations!F7)*Calculations!K13)/(Calculations!C16*(Calculations!E13-Calculations!K13)+Calculations!E16*Calculations!C13)</f>
        <v>2300.133092866141</v>
      </c>
      <c r="D15" s="151" t="s">
        <v>26</v>
      </c>
      <c r="E15" s="152"/>
      <c r="F15" s="152"/>
      <c r="G15" s="137"/>
      <c r="H15" s="139" t="s">
        <v>21</v>
      </c>
      <c r="I15" s="140">
        <f>(-(Calculations!F7/2)*Calculations!E13)/(Calculations!I16*(Calculations!E13-Calculations!K13)+Calculations!K16*Calculations!I13)</f>
        <v>-2742.8571428571427</v>
      </c>
      <c r="J15" s="151" t="s">
        <v>27</v>
      </c>
      <c r="K15" s="152"/>
      <c r="L15" s="152"/>
      <c r="M15" s="153"/>
    </row>
    <row r="16" spans="2:13" s="125" customFormat="1" ht="12.75">
      <c r="B16" s="139" t="s">
        <v>22</v>
      </c>
      <c r="C16" s="149">
        <f>(C10/C15)</f>
        <v>15.865490730636939</v>
      </c>
      <c r="D16" s="151" t="s">
        <v>31</v>
      </c>
      <c r="E16" s="152"/>
      <c r="F16" s="152"/>
      <c r="G16" s="137"/>
      <c r="H16" s="139" t="s">
        <v>22</v>
      </c>
      <c r="I16" s="149">
        <f>(-I10/I15)</f>
        <v>20.86410221065321</v>
      </c>
      <c r="J16" s="151" t="s">
        <v>32</v>
      </c>
      <c r="K16" s="152"/>
      <c r="L16" s="152"/>
      <c r="M16" s="153"/>
    </row>
    <row r="17" spans="2:13" s="125" customFormat="1" ht="12.75">
      <c r="B17" s="139" t="s">
        <v>23</v>
      </c>
      <c r="C17" s="149">
        <f>(C11/C15)</f>
        <v>10.291339263731818</v>
      </c>
      <c r="D17" s="151" t="s">
        <v>70</v>
      </c>
      <c r="E17" s="152"/>
      <c r="F17" s="152"/>
      <c r="G17" s="137"/>
      <c r="H17" s="135" t="s">
        <v>23</v>
      </c>
      <c r="I17" s="149">
        <f>(-I11/I15)</f>
        <v>19.757165621241548</v>
      </c>
      <c r="J17" s="151" t="s">
        <v>33</v>
      </c>
      <c r="K17" s="152"/>
      <c r="L17" s="152"/>
      <c r="M17" s="153"/>
    </row>
    <row r="18" spans="2:13" s="125" customFormat="1" ht="12.75">
      <c r="B18" s="144" t="s">
        <v>40</v>
      </c>
      <c r="C18" s="149">
        <f>(C12/(Calculations!$F$7/2))</f>
        <v>0.8939070777376013</v>
      </c>
      <c r="D18" s="151" t="s">
        <v>75</v>
      </c>
      <c r="E18" s="152"/>
      <c r="F18" s="152"/>
      <c r="G18" s="137"/>
      <c r="H18" s="135" t="s">
        <v>24</v>
      </c>
      <c r="I18" s="149">
        <f>(I12/(Calculations!$F$7/2))</f>
        <v>1.7610926788431271</v>
      </c>
      <c r="J18" s="151" t="s">
        <v>112</v>
      </c>
      <c r="K18" s="152"/>
      <c r="L18" s="152"/>
      <c r="M18" s="153"/>
    </row>
    <row r="19" spans="2:13" s="125" customFormat="1" ht="12.75">
      <c r="B19" s="154" t="s">
        <v>28</v>
      </c>
      <c r="C19" s="149">
        <f>(C7/C15)</f>
        <v>8.695149016389516</v>
      </c>
      <c r="D19" s="155" t="s">
        <v>34</v>
      </c>
      <c r="E19" s="156"/>
      <c r="F19" s="156"/>
      <c r="G19" s="157"/>
      <c r="H19" s="158" t="s">
        <v>28</v>
      </c>
      <c r="I19" s="149">
        <f>(-I7/I15)</f>
        <v>20.052083333333336</v>
      </c>
      <c r="J19" s="155" t="s">
        <v>34</v>
      </c>
      <c r="K19" s="156"/>
      <c r="L19" s="156"/>
      <c r="M19" s="159"/>
    </row>
    <row r="20" spans="2:7" s="125" customFormat="1" ht="12.75">
      <c r="B20" s="160" t="s">
        <v>47</v>
      </c>
      <c r="C20" s="161"/>
      <c r="D20" s="161"/>
      <c r="E20" s="161"/>
      <c r="F20" s="161"/>
      <c r="G20" s="161"/>
    </row>
    <row r="21" spans="2:7" s="125" customFormat="1" ht="12.75">
      <c r="B21" s="162"/>
      <c r="C21" s="163"/>
      <c r="D21" s="163"/>
      <c r="E21" s="163"/>
      <c r="F21" s="163"/>
      <c r="G21" s="164"/>
    </row>
    <row r="22" spans="2:7" s="125" customFormat="1" ht="12.75">
      <c r="B22" s="165"/>
      <c r="C22" s="166" t="s">
        <v>48</v>
      </c>
      <c r="D22" s="166" t="s">
        <v>50</v>
      </c>
      <c r="E22" s="166" t="s">
        <v>59</v>
      </c>
      <c r="F22" s="167"/>
      <c r="G22" s="168"/>
    </row>
    <row r="23" spans="2:7" s="125" customFormat="1" ht="12.75">
      <c r="B23" s="165"/>
      <c r="C23" s="169" t="s">
        <v>49</v>
      </c>
      <c r="D23" s="169" t="s">
        <v>51</v>
      </c>
      <c r="E23" s="169" t="s">
        <v>60</v>
      </c>
      <c r="F23" s="167"/>
      <c r="G23" s="168"/>
    </row>
    <row r="24" spans="2:7" s="125" customFormat="1" ht="12.75">
      <c r="B24" s="110" t="s">
        <v>63</v>
      </c>
      <c r="C24" s="111">
        <v>10500000</v>
      </c>
      <c r="D24" s="111">
        <v>50000</v>
      </c>
      <c r="E24" s="112">
        <v>0.1</v>
      </c>
      <c r="F24" s="113"/>
      <c r="G24" s="114"/>
    </row>
    <row r="25" spans="2:7" s="125" customFormat="1" ht="12.75">
      <c r="B25" s="110" t="s">
        <v>61</v>
      </c>
      <c r="C25" s="111">
        <v>10000000</v>
      </c>
      <c r="D25" s="111">
        <v>39900</v>
      </c>
      <c r="E25" s="112">
        <v>0.0975</v>
      </c>
      <c r="F25" s="113"/>
      <c r="G25" s="114"/>
    </row>
    <row r="26" spans="2:7" s="125" customFormat="1" ht="12.75">
      <c r="B26" s="110" t="s">
        <v>62</v>
      </c>
      <c r="C26" s="111">
        <v>10400000</v>
      </c>
      <c r="D26" s="111">
        <v>73200</v>
      </c>
      <c r="E26" s="112">
        <v>0.102</v>
      </c>
      <c r="F26" s="113"/>
      <c r="G26" s="114"/>
    </row>
    <row r="27" spans="2:7" s="125" customFormat="1" ht="12.75">
      <c r="B27" s="115" t="s">
        <v>120</v>
      </c>
      <c r="C27" s="116">
        <v>29000000</v>
      </c>
      <c r="D27" s="116">
        <v>50000</v>
      </c>
      <c r="E27" s="112">
        <v>0.284</v>
      </c>
      <c r="F27" s="113" t="s">
        <v>55</v>
      </c>
      <c r="G27" s="114"/>
    </row>
    <row r="28" spans="2:7" s="125" customFormat="1" ht="12.75">
      <c r="B28" s="110" t="s">
        <v>121</v>
      </c>
      <c r="C28" s="116">
        <v>29700000</v>
      </c>
      <c r="D28" s="116">
        <v>63100</v>
      </c>
      <c r="E28" s="112">
        <v>0.284</v>
      </c>
      <c r="F28" s="113" t="s">
        <v>56</v>
      </c>
      <c r="G28" s="114"/>
    </row>
    <row r="29" spans="2:7" s="125" customFormat="1" ht="12.75">
      <c r="B29" s="110" t="s">
        <v>122</v>
      </c>
      <c r="C29" s="116">
        <v>29700000</v>
      </c>
      <c r="D29" s="116">
        <v>110000</v>
      </c>
      <c r="E29" s="112">
        <v>0.284</v>
      </c>
      <c r="F29" s="113" t="s">
        <v>57</v>
      </c>
      <c r="G29" s="114"/>
    </row>
    <row r="30" spans="2:7" s="125" customFormat="1" ht="12.75">
      <c r="B30" s="110" t="s">
        <v>123</v>
      </c>
      <c r="C30" s="116">
        <v>29700000</v>
      </c>
      <c r="D30" s="111">
        <v>114000</v>
      </c>
      <c r="E30" s="112">
        <v>0.284</v>
      </c>
      <c r="F30" s="113" t="s">
        <v>56</v>
      </c>
      <c r="G30" s="114"/>
    </row>
    <row r="31" spans="2:7" s="125" customFormat="1" ht="12.75">
      <c r="B31" s="110" t="s">
        <v>124</v>
      </c>
      <c r="C31" s="116">
        <v>29700000</v>
      </c>
      <c r="D31" s="111">
        <v>160000</v>
      </c>
      <c r="E31" s="112">
        <v>0.284</v>
      </c>
      <c r="F31" s="113" t="s">
        <v>58</v>
      </c>
      <c r="G31" s="114"/>
    </row>
    <row r="32" spans="2:7" s="125" customFormat="1" ht="12.75">
      <c r="B32" s="110" t="s">
        <v>64</v>
      </c>
      <c r="C32" s="111">
        <v>16500000</v>
      </c>
      <c r="D32" s="111">
        <v>128000</v>
      </c>
      <c r="E32" s="112">
        <v>0.16</v>
      </c>
      <c r="F32" s="113" t="s">
        <v>65</v>
      </c>
      <c r="G32" s="114"/>
    </row>
    <row r="33" spans="2:7" s="125" customFormat="1" ht="12.75">
      <c r="B33" s="117"/>
      <c r="C33" s="118"/>
      <c r="D33" s="119"/>
      <c r="E33" s="119"/>
      <c r="F33" s="119"/>
      <c r="G33" s="120"/>
    </row>
    <row r="34" spans="2:7" s="125" customFormat="1" ht="12.75">
      <c r="B34" s="117"/>
      <c r="C34" s="118"/>
      <c r="D34" s="119"/>
      <c r="E34" s="119"/>
      <c r="F34" s="119"/>
      <c r="G34" s="120"/>
    </row>
    <row r="35" spans="2:7" s="125" customFormat="1" ht="12.75">
      <c r="B35" s="117"/>
      <c r="C35" s="118"/>
      <c r="D35" s="119"/>
      <c r="E35" s="119"/>
      <c r="F35" s="119"/>
      <c r="G35" s="120"/>
    </row>
    <row r="36" spans="2:7" s="125" customFormat="1" ht="12.75">
      <c r="B36" s="117"/>
      <c r="C36" s="118"/>
      <c r="D36" s="119"/>
      <c r="E36" s="119"/>
      <c r="F36" s="119"/>
      <c r="G36" s="120"/>
    </row>
    <row r="37" spans="2:7" s="125" customFormat="1" ht="12.75">
      <c r="B37" s="117"/>
      <c r="C37" s="118"/>
      <c r="D37" s="119"/>
      <c r="E37" s="119"/>
      <c r="F37" s="119"/>
      <c r="G37" s="120"/>
    </row>
    <row r="38" spans="2:7" s="125" customFormat="1" ht="12.75">
      <c r="B38" s="117"/>
      <c r="C38" s="118"/>
      <c r="D38" s="119"/>
      <c r="E38" s="119"/>
      <c r="F38" s="119"/>
      <c r="G38" s="120"/>
    </row>
    <row r="39" spans="2:7" s="125" customFormat="1" ht="12.75">
      <c r="B39" s="117"/>
      <c r="C39" s="118"/>
      <c r="D39" s="119"/>
      <c r="E39" s="119"/>
      <c r="F39" s="119"/>
      <c r="G39" s="120"/>
    </row>
    <row r="40" spans="2:7" s="125" customFormat="1" ht="12.75">
      <c r="B40" s="117"/>
      <c r="C40" s="118"/>
      <c r="D40" s="119"/>
      <c r="E40" s="119"/>
      <c r="F40" s="119"/>
      <c r="G40" s="120"/>
    </row>
    <row r="41" spans="2:7" s="125" customFormat="1" ht="12.75">
      <c r="B41" s="117"/>
      <c r="C41" s="118"/>
      <c r="D41" s="119"/>
      <c r="E41" s="119"/>
      <c r="F41" s="119"/>
      <c r="G41" s="120"/>
    </row>
    <row r="42" spans="2:7" s="125" customFormat="1" ht="12.75">
      <c r="B42" s="117"/>
      <c r="C42" s="118"/>
      <c r="D42" s="119"/>
      <c r="E42" s="119"/>
      <c r="F42" s="119"/>
      <c r="G42" s="120"/>
    </row>
    <row r="43" spans="2:7" s="125" customFormat="1" ht="12.75">
      <c r="B43" s="117"/>
      <c r="C43" s="118"/>
      <c r="D43" s="119"/>
      <c r="E43" s="119"/>
      <c r="F43" s="119"/>
      <c r="G43" s="120"/>
    </row>
    <row r="44" spans="2:7" s="125" customFormat="1" ht="12.75">
      <c r="B44" s="117"/>
      <c r="C44" s="118"/>
      <c r="D44" s="119"/>
      <c r="E44" s="119"/>
      <c r="F44" s="119"/>
      <c r="G44" s="120"/>
    </row>
    <row r="45" spans="2:7" s="125" customFormat="1" ht="12.75">
      <c r="B45" s="117"/>
      <c r="C45" s="118"/>
      <c r="D45" s="119"/>
      <c r="E45" s="119"/>
      <c r="F45" s="119"/>
      <c r="G45" s="120"/>
    </row>
    <row r="46" spans="2:7" s="125" customFormat="1" ht="12.75">
      <c r="B46" s="121"/>
      <c r="C46" s="122"/>
      <c r="D46" s="123"/>
      <c r="E46" s="123"/>
      <c r="F46" s="123"/>
      <c r="G46" s="124"/>
    </row>
    <row r="47" spans="2:7" s="125" customFormat="1" ht="12.75">
      <c r="B47" s="170" t="s">
        <v>125</v>
      </c>
      <c r="C47" s="170"/>
      <c r="D47" s="170"/>
      <c r="E47" s="170"/>
      <c r="F47" s="170"/>
      <c r="G47" s="170"/>
    </row>
  </sheetData>
  <mergeCells count="11">
    <mergeCell ref="J15:M15"/>
    <mergeCell ref="J16:M16"/>
    <mergeCell ref="J17:M17"/>
    <mergeCell ref="J18:M18"/>
    <mergeCell ref="J19:M19"/>
    <mergeCell ref="B47:G47"/>
    <mergeCell ref="D15:F15"/>
    <mergeCell ref="D16:F16"/>
    <mergeCell ref="D17:F17"/>
    <mergeCell ref="D18:F18"/>
    <mergeCell ref="D19:F19"/>
  </mergeCells>
  <dataValidations count="1">
    <dataValidation type="list" allowBlank="1" showInputMessage="1" showErrorMessage="1" sqref="C6 I6">
      <formula1>$B$24:$B$46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82"/>
  <sheetViews>
    <sheetView workbookViewId="0" topLeftCell="A1">
      <selection activeCell="A1" sqref="A1:IV1"/>
    </sheetView>
  </sheetViews>
  <sheetFormatPr defaultColWidth="9.140625" defaultRowHeight="12.75"/>
  <cols>
    <col min="1" max="1" width="5.421875" style="40" bestFit="1" customWidth="1"/>
    <col min="2" max="3" width="12.00390625" style="40" bestFit="1" customWidth="1"/>
    <col min="4" max="4" width="13.140625" style="40" bestFit="1" customWidth="1"/>
    <col min="5" max="5" width="12.00390625" style="40" bestFit="1" customWidth="1"/>
    <col min="6" max="6" width="13.8515625" style="40" bestFit="1" customWidth="1"/>
    <col min="7" max="7" width="12.00390625" style="40" bestFit="1" customWidth="1"/>
    <col min="8" max="8" width="11.421875" style="40" customWidth="1"/>
    <col min="9" max="9" width="13.421875" style="40" bestFit="1" customWidth="1"/>
    <col min="10" max="10" width="6.140625" style="40" bestFit="1" customWidth="1"/>
    <col min="11" max="11" width="5.57421875" style="40" bestFit="1" customWidth="1"/>
    <col min="12" max="16384" width="11.421875" style="40" customWidth="1"/>
  </cols>
  <sheetData>
    <row r="1" spans="2:12" s="4" customFormat="1" ht="20.25">
      <c r="B1" s="28" t="s">
        <v>108</v>
      </c>
      <c r="E1" s="3"/>
      <c r="F1" s="3"/>
      <c r="K1" s="84"/>
      <c r="L1" s="2" t="s">
        <v>116</v>
      </c>
    </row>
    <row r="2" ht="15">
      <c r="V2" s="61"/>
    </row>
    <row r="48" spans="60:62" ht="12.75">
      <c r="BH48" s="62"/>
      <c r="BI48" s="62"/>
      <c r="BJ48" s="62"/>
    </row>
    <row r="49" spans="2:62" ht="12.75">
      <c r="B49" s="40" t="s">
        <v>87</v>
      </c>
      <c r="I49" s="40" t="s">
        <v>88</v>
      </c>
      <c r="BH49" s="62"/>
      <c r="BI49" s="62"/>
      <c r="BJ49" s="62"/>
    </row>
    <row r="50" spans="55:62" ht="12.75">
      <c r="BC50" s="62"/>
      <c r="BD50" s="62"/>
      <c r="BE50" s="62"/>
      <c r="BF50" s="62"/>
      <c r="BG50" s="62"/>
      <c r="BH50" s="62"/>
      <c r="BI50" s="62"/>
      <c r="BJ50" s="62"/>
    </row>
    <row r="51" spans="2:62" ht="12.75">
      <c r="B51" s="40" t="s">
        <v>80</v>
      </c>
      <c r="D51" s="40" t="s">
        <v>81</v>
      </c>
      <c r="F51" s="40" t="s">
        <v>83</v>
      </c>
      <c r="I51" s="40" t="s">
        <v>91</v>
      </c>
      <c r="J51" s="62">
        <v>60</v>
      </c>
      <c r="BC51" s="62"/>
      <c r="BD51" s="62"/>
      <c r="BE51" s="62"/>
      <c r="BF51" s="62"/>
      <c r="BG51" s="62"/>
      <c r="BH51" s="62"/>
      <c r="BI51" s="62"/>
      <c r="BJ51" s="62"/>
    </row>
    <row r="52" spans="1:62" ht="12.75">
      <c r="A52" s="40" t="s">
        <v>90</v>
      </c>
      <c r="B52" s="40" t="s">
        <v>1</v>
      </c>
      <c r="C52" s="40" t="s">
        <v>4</v>
      </c>
      <c r="D52" s="40" t="s">
        <v>1</v>
      </c>
      <c r="E52" s="40" t="s">
        <v>4</v>
      </c>
      <c r="F52" s="40" t="s">
        <v>1</v>
      </c>
      <c r="G52" s="40" t="s">
        <v>4</v>
      </c>
      <c r="BC52" s="62"/>
      <c r="BD52" s="62"/>
      <c r="BE52" s="62"/>
      <c r="BF52" s="62"/>
      <c r="BG52" s="62"/>
      <c r="BH52" s="62"/>
      <c r="BI52" s="62"/>
      <c r="BJ52" s="62"/>
    </row>
    <row r="53" spans="1:62" ht="12.75">
      <c r="A53" s="40">
        <v>0</v>
      </c>
      <c r="B53" s="40">
        <f>(Calculations!$C$4-(SIN(RADIANS(A53)))*(Calculations!$C$6/2))</f>
        <v>110</v>
      </c>
      <c r="C53" s="40">
        <f>(Calculations!$C$7-((COS(RADIANS(A53)))*(Calculations!$C$7)))</f>
        <v>0</v>
      </c>
      <c r="D53" s="40">
        <f>((SIN(RADIANS(A53)))*(Calculations!$C$6/2))</f>
        <v>0</v>
      </c>
      <c r="E53" s="40">
        <f aca="true" t="shared" si="0" ref="E53:E77">(C53)</f>
        <v>0</v>
      </c>
      <c r="F53" s="62">
        <f>Calculations!C12</f>
        <v>20</v>
      </c>
      <c r="G53" s="62">
        <f>Calculations!E12</f>
        <v>15.75</v>
      </c>
      <c r="I53" s="40" t="s">
        <v>107</v>
      </c>
      <c r="BC53" s="62"/>
      <c r="BD53" s="62"/>
      <c r="BE53" s="62"/>
      <c r="BF53" s="62"/>
      <c r="BG53" s="62"/>
      <c r="BH53" s="62"/>
      <c r="BI53" s="62"/>
      <c r="BJ53" s="62"/>
    </row>
    <row r="54" spans="1:62" ht="12.75">
      <c r="A54" s="40">
        <v>15</v>
      </c>
      <c r="B54" s="40">
        <f>(Calculations!$C$4-(SIN(RADIANS(A54)))*(Calculations!$C$6/2))</f>
        <v>106.63535241366723</v>
      </c>
      <c r="C54" s="40">
        <f>(Calculations!$C$7-((COS(RADIANS(A54)))*((Calculations!$C$6/2)+Calculations!$C$7)/2))</f>
        <v>0.3137049865282453</v>
      </c>
      <c r="D54" s="40">
        <f>((SIN(RADIANS(A54)))*(Calculations!$C$6/2))</f>
        <v>3.3646475863327696</v>
      </c>
      <c r="E54" s="40">
        <f t="shared" si="0"/>
        <v>0.3137049865282453</v>
      </c>
      <c r="F54" s="63">
        <f>Calculations!C38</f>
        <v>93.33333333333334</v>
      </c>
      <c r="G54" s="63">
        <f>Calculations!C39</f>
        <v>7.499999999999998</v>
      </c>
      <c r="I54" s="40" t="s">
        <v>1</v>
      </c>
      <c r="J54" s="40" t="s">
        <v>0</v>
      </c>
      <c r="K54" s="40" t="s">
        <v>92</v>
      </c>
      <c r="BC54" s="62"/>
      <c r="BD54" s="62"/>
      <c r="BE54" s="62"/>
      <c r="BF54" s="62"/>
      <c r="BG54" s="62"/>
      <c r="BH54" s="62"/>
      <c r="BI54" s="62"/>
      <c r="BJ54" s="62"/>
    </row>
    <row r="55" spans="1:61" ht="12.75">
      <c r="A55" s="40">
        <v>30</v>
      </c>
      <c r="B55" s="40">
        <f>(Calculations!$C$4-(SIN(RADIANS(A55)))*(Calculations!$C$6/2))</f>
        <v>103.5</v>
      </c>
      <c r="C55" s="40">
        <f>(Calculations!$C$7-((COS(RADIANS(A55)))*(Calculations!$C$6/2)))</f>
        <v>1.4916697508022967</v>
      </c>
      <c r="D55" s="40">
        <f>((SIN(RADIANS(A55)))*(Calculations!$C$6/2))</f>
        <v>6.499999999999999</v>
      </c>
      <c r="E55" s="40">
        <f t="shared" si="0"/>
        <v>1.4916697508022967</v>
      </c>
      <c r="F55" s="40" t="s">
        <v>82</v>
      </c>
      <c r="I55" s="62">
        <f>Calculations!C12</f>
        <v>20</v>
      </c>
      <c r="J55" s="62">
        <f>Calculations!D12</f>
        <v>-4</v>
      </c>
      <c r="K55" s="62">
        <f>(J55+$J$51)</f>
        <v>56</v>
      </c>
      <c r="BC55" s="62"/>
      <c r="BE55" s="62"/>
      <c r="BG55" s="62"/>
      <c r="BI55" s="62"/>
    </row>
    <row r="56" spans="1:62" ht="12.75">
      <c r="A56" s="40">
        <v>45</v>
      </c>
      <c r="B56" s="40">
        <f>(Calculations!$C$4-(SIN(RADIANS(A56)))*(Calculations!$C$6/2))</f>
        <v>100.80761184457488</v>
      </c>
      <c r="C56" s="40">
        <f>(Calculations!$C$7-((COS(RADIANS(A56)))*(Calculations!$C$6/2)))</f>
        <v>3.5576118445748808</v>
      </c>
      <c r="D56" s="40">
        <f>((SIN(RADIANS(A56)))*(Calculations!$C$6/2))</f>
        <v>9.192388155425117</v>
      </c>
      <c r="E56" s="40">
        <f t="shared" si="0"/>
        <v>3.5576118445748808</v>
      </c>
      <c r="F56" s="40" t="s">
        <v>1</v>
      </c>
      <c r="G56" s="40" t="s">
        <v>4</v>
      </c>
      <c r="I56" s="62">
        <f>Calculations!C13</f>
        <v>0</v>
      </c>
      <c r="J56" s="62">
        <f>Calculations!D13</f>
        <v>-4</v>
      </c>
      <c r="K56" s="62">
        <f>(J56+$J$51)</f>
        <v>56</v>
      </c>
      <c r="BC56" s="62"/>
      <c r="BD56" s="62"/>
      <c r="BE56" s="62"/>
      <c r="BF56" s="62"/>
      <c r="BG56" s="62"/>
      <c r="BH56" s="62"/>
      <c r="BI56" s="62"/>
      <c r="BJ56" s="62"/>
    </row>
    <row r="57" spans="1:62" ht="12.75">
      <c r="A57" s="40">
        <v>60</v>
      </c>
      <c r="B57" s="40">
        <f>(Calculations!$C$4-(SIN(RADIANS(A57)))*(Calculations!$C$6/2))</f>
        <v>98.7416697508023</v>
      </c>
      <c r="C57" s="40">
        <f>(Calculations!$C$7-((COS(RADIANS(A57)))*(Calculations!$C$6/2)))</f>
        <v>6.249999999999998</v>
      </c>
      <c r="D57" s="40">
        <f>((SIN(RADIANS(A57)))*(Calculations!$C$6/2))</f>
        <v>11.258330249197702</v>
      </c>
      <c r="E57" s="40">
        <f t="shared" si="0"/>
        <v>6.249999999999998</v>
      </c>
      <c r="F57" s="62">
        <f>Calculations!I12</f>
        <v>23.98</v>
      </c>
      <c r="G57" s="62">
        <f>Calculations!K12</f>
        <v>7.5</v>
      </c>
      <c r="I57" s="40" t="s">
        <v>5</v>
      </c>
      <c r="K57" s="62">
        <f>(J57+$J$51)</f>
        <v>60</v>
      </c>
      <c r="BC57" s="62"/>
      <c r="BD57" s="62"/>
      <c r="BE57" s="62"/>
      <c r="BF57" s="62"/>
      <c r="BG57" s="62"/>
      <c r="BH57" s="62"/>
      <c r="BI57" s="62"/>
      <c r="BJ57" s="62"/>
    </row>
    <row r="58" spans="1:62" ht="12.75">
      <c r="A58" s="40">
        <v>75</v>
      </c>
      <c r="B58" s="40">
        <f>(Calculations!$C$4-(SIN(RADIANS(A58)))*(Calculations!$C$6/2))</f>
        <v>97.44296425824211</v>
      </c>
      <c r="C58" s="40">
        <f>(Calculations!$C$7-((COS(RADIANS(A58)))*(Calculations!$C$6/2)))</f>
        <v>9.385352413667231</v>
      </c>
      <c r="D58" s="40">
        <f>((SIN(RADIANS(A58)))*(Calculations!$C$6/2))</f>
        <v>12.557035741757888</v>
      </c>
      <c r="E58" s="40">
        <f t="shared" si="0"/>
        <v>9.385352413667231</v>
      </c>
      <c r="F58" s="63">
        <f>Calculations!C38</f>
        <v>93.33333333333334</v>
      </c>
      <c r="G58" s="63">
        <f>Calculations!C39</f>
        <v>7.499999999999998</v>
      </c>
      <c r="I58" s="40" t="s">
        <v>1</v>
      </c>
      <c r="J58" s="40" t="s">
        <v>0</v>
      </c>
      <c r="K58" s="62"/>
      <c r="BC58" s="62"/>
      <c r="BD58" s="62"/>
      <c r="BE58" s="62"/>
      <c r="BF58" s="62"/>
      <c r="BG58" s="62"/>
      <c r="BH58" s="62"/>
      <c r="BI58" s="62"/>
      <c r="BJ58" s="62"/>
    </row>
    <row r="59" spans="1:11" ht="12.75">
      <c r="A59" s="40">
        <v>90</v>
      </c>
      <c r="B59" s="40">
        <f>(Calculations!$C$4-(SIN(RADIANS(A59)))*(Calculations!$C$6/2))</f>
        <v>97</v>
      </c>
      <c r="C59" s="40">
        <f>(Calculations!$C$7-((COS(RADIANS(A59)))*(Calculations!$C$6/2)))</f>
        <v>12.75</v>
      </c>
      <c r="D59" s="40">
        <f>((SIN(RADIANS(A59)))*(Calculations!$C$6/2))</f>
        <v>13</v>
      </c>
      <c r="E59" s="40">
        <f t="shared" si="0"/>
        <v>12.75</v>
      </c>
      <c r="F59" s="40" t="s">
        <v>84</v>
      </c>
      <c r="I59" s="62">
        <f>Calculations!I12</f>
        <v>23.98</v>
      </c>
      <c r="J59" s="62">
        <f>Calculations!J12</f>
        <v>24</v>
      </c>
      <c r="K59" s="62">
        <f>(J59+$J$51)</f>
        <v>84</v>
      </c>
    </row>
    <row r="60" spans="1:11" ht="12.75">
      <c r="A60" s="40">
        <v>105</v>
      </c>
      <c r="B60" s="40">
        <f>(Calculations!$C$4-(SIN(RADIANS(A60)))*(Calculations!$C$6/2))</f>
        <v>97.44296425824211</v>
      </c>
      <c r="C60" s="40">
        <f>(Calculations!$C$7-((COS(RADIANS(A60)))*(Calculations!$C$6/2)))</f>
        <v>16.114647586332772</v>
      </c>
      <c r="D60" s="40">
        <f>((SIN(RADIANS(A60)))*(Calculations!$C$6/2))</f>
        <v>12.557035741757888</v>
      </c>
      <c r="E60" s="40">
        <f t="shared" si="0"/>
        <v>16.114647586332772</v>
      </c>
      <c r="F60" s="40" t="s">
        <v>1</v>
      </c>
      <c r="G60" s="40" t="s">
        <v>4</v>
      </c>
      <c r="I60" s="62">
        <f>Calculations!I13</f>
        <v>-2</v>
      </c>
      <c r="J60" s="62">
        <f>Calculations!J13</f>
        <v>24</v>
      </c>
      <c r="K60" s="62">
        <f>(J60+$J$51)</f>
        <v>84</v>
      </c>
    </row>
    <row r="61" spans="1:11" ht="12.75">
      <c r="A61" s="40">
        <v>120</v>
      </c>
      <c r="B61" s="40">
        <f>(Calculations!$C$4-(SIN(RADIANS(A61)))*(Calculations!$C$6/2))</f>
        <v>98.7416697508023</v>
      </c>
      <c r="C61" s="40">
        <f>(Calculations!$C$7-((COS(RADIANS(A61)))*(Calculations!$C$6/2)))</f>
        <v>19.249999999999996</v>
      </c>
      <c r="D61" s="40">
        <f>((SIN(RADIANS(A61)))*(Calculations!$C$6/2))</f>
        <v>11.258330249197703</v>
      </c>
      <c r="E61" s="40">
        <f t="shared" si="0"/>
        <v>19.249999999999996</v>
      </c>
      <c r="F61" s="40">
        <v>0</v>
      </c>
      <c r="G61" s="40">
        <v>0</v>
      </c>
      <c r="I61" s="62">
        <f>(I59)</f>
        <v>23.98</v>
      </c>
      <c r="J61" s="62">
        <f>(-J59)</f>
        <v>-24</v>
      </c>
      <c r="K61" s="62">
        <f>(J61+$J$51)</f>
        <v>36</v>
      </c>
    </row>
    <row r="62" spans="1:11" ht="12.75">
      <c r="A62" s="40">
        <v>135</v>
      </c>
      <c r="B62" s="40">
        <f>(Calculations!$C$4-(SIN(RADIANS(A62)))*(Calculations!$C$6/2))</f>
        <v>100.80761184457488</v>
      </c>
      <c r="C62" s="40">
        <f>(Calculations!$C$7-((COS(RADIANS(A62)))*(Calculations!$C$6/2)))</f>
        <v>21.942388155425117</v>
      </c>
      <c r="D62" s="40">
        <f>((SIN(RADIANS(A62)))*(Calculations!$C$6/2))</f>
        <v>9.19238815542512</v>
      </c>
      <c r="E62" s="40">
        <f t="shared" si="0"/>
        <v>21.942388155425117</v>
      </c>
      <c r="F62" s="63">
        <f>(Calculations!C38)</f>
        <v>93.33333333333334</v>
      </c>
      <c r="G62" s="63">
        <f>Calculations!C39</f>
        <v>7.499999999999998</v>
      </c>
      <c r="I62" s="62">
        <f>I60</f>
        <v>-2</v>
      </c>
      <c r="J62" s="62">
        <f>(-J60)</f>
        <v>-24</v>
      </c>
      <c r="K62" s="62">
        <f>(J62+$J$51)</f>
        <v>36</v>
      </c>
    </row>
    <row r="63" spans="1:11" ht="12.75">
      <c r="A63" s="40">
        <v>150</v>
      </c>
      <c r="B63" s="40">
        <f>(Calculations!$C$4-(SIN(RADIANS(A63)))*(Calculations!$C$6/2))</f>
        <v>103.5</v>
      </c>
      <c r="C63" s="40">
        <f>(Calculations!$C$7-((COS(RADIANS(A63)))*(Calculations!$C$6/2)))</f>
        <v>24.008330249197705</v>
      </c>
      <c r="D63" s="40">
        <f>((SIN(RADIANS(A63)))*(Calculations!$C$6/2))</f>
        <v>6.499999999999999</v>
      </c>
      <c r="E63" s="40">
        <f t="shared" si="0"/>
        <v>24.008330249197705</v>
      </c>
      <c r="F63" s="40">
        <f>Calculations!C4</f>
        <v>110</v>
      </c>
      <c r="G63" s="40">
        <f>FORECAST(F63,G61:G62,F61:F62)</f>
        <v>8.83928571428571</v>
      </c>
      <c r="I63" s="40" t="s">
        <v>82</v>
      </c>
      <c r="K63" s="62">
        <f>(J63+$J$51)</f>
        <v>60</v>
      </c>
    </row>
    <row r="64" spans="1:11" ht="12.75">
      <c r="A64" s="40">
        <v>165</v>
      </c>
      <c r="B64" s="40">
        <f>(Calculations!$C$4-(SIN(RADIANS(A64)))*(Calculations!$C$6/2))</f>
        <v>106.63535241366722</v>
      </c>
      <c r="C64" s="40">
        <f>(Calculations!$C$7-((COS(RADIANS(A64)))*(Calculations!$C$6/2)))</f>
        <v>25.307035741757886</v>
      </c>
      <c r="D64" s="40">
        <f>((SIN(RADIANS(A64)))*(Calculations!$C$6/2))</f>
        <v>3.364647586332773</v>
      </c>
      <c r="E64" s="40">
        <f t="shared" si="0"/>
        <v>25.307035741757886</v>
      </c>
      <c r="F64" s="40" t="s">
        <v>85</v>
      </c>
      <c r="I64" s="40" t="s">
        <v>1</v>
      </c>
      <c r="J64" s="40" t="s">
        <v>0</v>
      </c>
      <c r="K64" s="62"/>
    </row>
    <row r="65" spans="1:11" ht="12.75">
      <c r="A65" s="40">
        <v>180</v>
      </c>
      <c r="B65" s="40">
        <f>(Calculations!$C$4-(SIN(RADIANS(A65)))*(Calculations!$C$6/2))</f>
        <v>110</v>
      </c>
      <c r="C65" s="40">
        <f>(Calculations!$C$7-((COS(RADIANS(A65)))*(Calculations!$C$6/2)))</f>
        <v>25.75</v>
      </c>
      <c r="D65" s="40">
        <f>((SIN(RADIANS(A65)))*(Calculations!$C$6/2))</f>
        <v>1.592692991381206E-15</v>
      </c>
      <c r="E65" s="40">
        <f t="shared" si="0"/>
        <v>25.75</v>
      </c>
      <c r="F65" s="40" t="s">
        <v>1</v>
      </c>
      <c r="G65" s="40" t="s">
        <v>4</v>
      </c>
      <c r="I65" s="62">
        <f>I59</f>
        <v>23.98</v>
      </c>
      <c r="J65" s="62">
        <f>J59</f>
        <v>24</v>
      </c>
      <c r="K65" s="62">
        <f>(J65+$J$51)</f>
        <v>84</v>
      </c>
    </row>
    <row r="66" spans="1:12" ht="12.75">
      <c r="A66" s="40">
        <v>195</v>
      </c>
      <c r="B66" s="40">
        <f>(Calculations!$C$4-(SIN(RADIANS(A66)))*(Calculations!$C$6/2))</f>
        <v>113.36464758633277</v>
      </c>
      <c r="C66" s="40">
        <f>(Calculations!$C$7-((COS(RADIANS(A66)))*(Calculations!$C$6/2)))</f>
        <v>25.307035741757886</v>
      </c>
      <c r="D66" s="40">
        <f>((SIN(RADIANS(A66)))*(Calculations!$C$6/2))</f>
        <v>-3.3646475863327705</v>
      </c>
      <c r="E66" s="40">
        <f t="shared" si="0"/>
        <v>25.307035741757886</v>
      </c>
      <c r="F66" s="40">
        <v>-20</v>
      </c>
      <c r="G66" s="62">
        <f>Calculations!F6</f>
        <v>22</v>
      </c>
      <c r="I66" s="62">
        <f>IF(Calculations!I18="Parallel",1000000,Calculations!I18)</f>
        <v>1000000</v>
      </c>
      <c r="J66" s="62">
        <f>Calculations!J18</f>
        <v>0</v>
      </c>
      <c r="K66" s="62">
        <f>(J66+$J$51)</f>
        <v>60</v>
      </c>
      <c r="L66" s="62"/>
    </row>
    <row r="67" spans="1:12" ht="12.75">
      <c r="A67" s="40">
        <v>210</v>
      </c>
      <c r="B67" s="40">
        <f>(Calculations!$C$4-(SIN(RADIANS(A67)))*(Calculations!$C$6/2))</f>
        <v>116.5</v>
      </c>
      <c r="C67" s="40">
        <f>(Calculations!$C$7-((COS(RADIANS(A67)))*(Calculations!$C$6/2)))</f>
        <v>24.0083302491977</v>
      </c>
      <c r="D67" s="40">
        <f>((SIN(RADIANS(A67)))*(Calculations!$C$6/2))</f>
        <v>-6.500000000000002</v>
      </c>
      <c r="E67" s="40">
        <f t="shared" si="0"/>
        <v>24.0083302491977</v>
      </c>
      <c r="F67" s="40">
        <v>140</v>
      </c>
      <c r="G67" s="62">
        <f>Calculations!F6</f>
        <v>22</v>
      </c>
      <c r="I67" s="62">
        <f>I65</f>
        <v>23.98</v>
      </c>
      <c r="J67" s="62">
        <f>-J65</f>
        <v>-24</v>
      </c>
      <c r="K67" s="62">
        <f>(J67+$J$51)</f>
        <v>36</v>
      </c>
      <c r="L67" s="62"/>
    </row>
    <row r="68" spans="1:12" ht="12.75">
      <c r="A68" s="40">
        <v>225</v>
      </c>
      <c r="B68" s="40">
        <f>(Calculations!$C$4-(SIN(RADIANS(A68)))*(Calculations!$C$6/2))</f>
        <v>119.19238815542512</v>
      </c>
      <c r="C68" s="40">
        <f>(Calculations!$C$7-((COS(RADIANS(A68)))*(Calculations!$C$6/2)))</f>
        <v>21.94238815542512</v>
      </c>
      <c r="D68" s="40">
        <f>((SIN(RADIANS(A68)))*(Calculations!$C$6/2))</f>
        <v>-9.192388155425117</v>
      </c>
      <c r="E68" s="40">
        <f t="shared" si="0"/>
        <v>21.94238815542512</v>
      </c>
      <c r="F68" s="40" t="s">
        <v>86</v>
      </c>
      <c r="I68" s="40" t="s">
        <v>109</v>
      </c>
      <c r="L68" s="62"/>
    </row>
    <row r="69" spans="1:11" ht="12.75">
      <c r="A69" s="40">
        <v>240</v>
      </c>
      <c r="B69" s="40">
        <f>(Calculations!$C$4-(SIN(RADIANS(A69)))*(Calculations!$C$6/2))</f>
        <v>121.2583302491977</v>
      </c>
      <c r="C69" s="40">
        <f>(Calculations!$C$7-((COS(RADIANS(A69)))*(Calculations!$C$6/2)))</f>
        <v>19.250000000000007</v>
      </c>
      <c r="D69" s="40">
        <f>((SIN(RADIANS(A69)))*(Calculations!$C$6/2))</f>
        <v>-11.258330249197698</v>
      </c>
      <c r="E69" s="40">
        <f t="shared" si="0"/>
        <v>19.250000000000007</v>
      </c>
      <c r="F69" s="40" t="s">
        <v>1</v>
      </c>
      <c r="G69" s="40" t="s">
        <v>4</v>
      </c>
      <c r="I69" s="40" t="s">
        <v>1</v>
      </c>
      <c r="J69" s="40" t="s">
        <v>0</v>
      </c>
      <c r="K69" s="40" t="s">
        <v>92</v>
      </c>
    </row>
    <row r="70" spans="1:11" ht="12.75">
      <c r="A70" s="40">
        <v>255</v>
      </c>
      <c r="B70" s="40">
        <f>(Calculations!$C$4-(SIN(RADIANS(A70)))*(Calculations!$C$6/2))</f>
        <v>122.55703574175789</v>
      </c>
      <c r="C70" s="40">
        <f>(Calculations!$C$7-((COS(RADIANS(A70)))*(Calculations!$C$6/2)))</f>
        <v>16.11464758633277</v>
      </c>
      <c r="D70" s="40">
        <f>((SIN(RADIANS(A70)))*(Calculations!$C$6/2))</f>
        <v>-12.557035741757888</v>
      </c>
      <c r="E70" s="40">
        <f t="shared" si="0"/>
        <v>16.11464758633277</v>
      </c>
      <c r="F70" s="40">
        <v>0</v>
      </c>
      <c r="G70" s="40">
        <v>0</v>
      </c>
      <c r="I70" s="62">
        <f>Calculations!C24</f>
        <v>-8</v>
      </c>
      <c r="J70" s="62">
        <f>Calculations!D24</f>
        <v>-24</v>
      </c>
      <c r="K70" s="62">
        <f>(J70+$J$51)</f>
        <v>36</v>
      </c>
    </row>
    <row r="71" spans="1:11" ht="12.75">
      <c r="A71" s="40">
        <v>270</v>
      </c>
      <c r="B71" s="40">
        <f>(Calculations!$C$4-(SIN(RADIANS(A71)))*(Calculations!$C$6/2))</f>
        <v>123</v>
      </c>
      <c r="C71" s="40">
        <f>(Calculations!$C$7-((COS(RADIANS(A71)))*(Calculations!$C$6/2)))</f>
        <v>12.750000000000002</v>
      </c>
      <c r="D71" s="40">
        <f>((SIN(RADIANS(A71)))*(Calculations!$C$6/2))</f>
        <v>-13</v>
      </c>
      <c r="E71" s="40">
        <f t="shared" si="0"/>
        <v>12.750000000000002</v>
      </c>
      <c r="F71" s="40">
        <f>Calculations!C4</f>
        <v>110</v>
      </c>
      <c r="G71" s="62">
        <f>Calculations!F6</f>
        <v>22</v>
      </c>
      <c r="I71" s="62">
        <f>AVERAGE(I70,I72)</f>
        <v>-8</v>
      </c>
      <c r="J71" s="62">
        <f>AVERAGE(J70,J72)</f>
        <v>0</v>
      </c>
      <c r="K71" s="62">
        <f>(J71+$J$51)</f>
        <v>60</v>
      </c>
    </row>
    <row r="72" spans="1:11" ht="12.75">
      <c r="A72" s="40">
        <v>285</v>
      </c>
      <c r="B72" s="40">
        <f>(Calculations!$C$4-(SIN(RADIANS(A72)))*(Calculations!$C$6/2))</f>
        <v>122.55703574175789</v>
      </c>
      <c r="C72" s="40">
        <f>(Calculations!$C$7-((COS(RADIANS(A72)))*(Calculations!$C$6/2)))</f>
        <v>9.385352413667237</v>
      </c>
      <c r="D72" s="40">
        <f>((SIN(RADIANS(A72)))*(Calculations!$C$6/2))</f>
        <v>-12.55703574175789</v>
      </c>
      <c r="E72" s="40">
        <f t="shared" si="0"/>
        <v>9.385352413667237</v>
      </c>
      <c r="F72" s="40" t="s">
        <v>89</v>
      </c>
      <c r="I72" s="62">
        <f>Calculations!C25</f>
        <v>-8</v>
      </c>
      <c r="J72" s="62">
        <f>Calculations!D25</f>
        <v>24</v>
      </c>
      <c r="K72" s="62">
        <f>(J72+$J$51)</f>
        <v>84</v>
      </c>
    </row>
    <row r="73" spans="1:7" ht="12.75">
      <c r="A73" s="40">
        <v>300</v>
      </c>
      <c r="B73" s="40">
        <f>(Calculations!$C$4-(SIN(RADIANS(A73)))*(Calculations!$C$6/2))</f>
        <v>121.2583302491977</v>
      </c>
      <c r="C73" s="40">
        <f>(Calculations!$C$7-((COS(RADIANS(A73)))*(Calculations!$C$6/2)))</f>
        <v>6.249999999999998</v>
      </c>
      <c r="D73" s="40">
        <f>((SIN(RADIANS(A73)))*(Calculations!$C$6/2))</f>
        <v>-11.258330249197702</v>
      </c>
      <c r="E73" s="40">
        <f t="shared" si="0"/>
        <v>6.249999999999998</v>
      </c>
      <c r="F73" s="40" t="s">
        <v>1</v>
      </c>
      <c r="G73" s="40" t="s">
        <v>4</v>
      </c>
    </row>
    <row r="74" spans="1:7" ht="12.75">
      <c r="A74" s="40">
        <v>315</v>
      </c>
      <c r="B74" s="40">
        <f>(Calculations!$C$4-(SIN(RADIANS(A74)))*(Calculations!$C$6/2))</f>
        <v>119.19238815542512</v>
      </c>
      <c r="C74" s="40">
        <f>(Calculations!$C$7-((COS(RADIANS(A74)))*(Calculations!$C$6/2)))</f>
        <v>3.5576118445748843</v>
      </c>
      <c r="D74" s="40">
        <f>((SIN(RADIANS(A74)))*(Calculations!$C$6/2))</f>
        <v>-9.19238815542512</v>
      </c>
      <c r="E74" s="40">
        <f t="shared" si="0"/>
        <v>3.5576118445748843</v>
      </c>
      <c r="F74" s="62">
        <f>Calculations!C29</f>
        <v>-8</v>
      </c>
      <c r="G74" s="62">
        <f>Calculations!E29</f>
        <v>13</v>
      </c>
    </row>
    <row r="75" spans="1:7" ht="12.75">
      <c r="A75" s="40">
        <v>330</v>
      </c>
      <c r="B75" s="40">
        <f>(Calculations!$C$4-(SIN(RADIANS(A75)))*(Calculations!$C$6/2))</f>
        <v>116.5</v>
      </c>
      <c r="C75" s="40">
        <f>(Calculations!$C$7-((COS(RADIANS(A75)))*(Calculations!$C$6/2)))</f>
        <v>1.491669750802302</v>
      </c>
      <c r="D75" s="40">
        <f>((SIN(RADIANS(A75)))*(Calculations!$C$6/2))</f>
        <v>-6.500000000000005</v>
      </c>
      <c r="E75" s="40">
        <f t="shared" si="0"/>
        <v>1.491669750802302</v>
      </c>
      <c r="F75" s="40">
        <v>0</v>
      </c>
      <c r="G75" s="62">
        <f>Calculations!C37</f>
        <v>13</v>
      </c>
    </row>
    <row r="76" spans="1:7" ht="12.75">
      <c r="A76" s="40">
        <v>345</v>
      </c>
      <c r="B76" s="40">
        <f>(Calculations!$C$4-(SIN(RADIANS(A76)))*(Calculations!$C$6/2))</f>
        <v>113.36464758633277</v>
      </c>
      <c r="C76" s="40">
        <f>(Calculations!$C$7-((COS(RADIANS(A76)))*((Calculations!$C$6/2)+Calculations!$C$7)/2))</f>
        <v>0.3137049865282453</v>
      </c>
      <c r="D76" s="40">
        <f>((SIN(RADIANS(A76)))*(Calculations!$C$6/2))</f>
        <v>-3.3646475863327687</v>
      </c>
      <c r="E76" s="40">
        <f t="shared" si="0"/>
        <v>0.3137049865282453</v>
      </c>
      <c r="F76" s="62">
        <f>IF(Calculations!I18="Parallel",60,Calculations!I18)</f>
        <v>60</v>
      </c>
      <c r="G76" s="62">
        <f>IF(F76=60,((Calculations!C35*F76)+G75),Calculations!K18)</f>
        <v>13</v>
      </c>
    </row>
    <row r="77" spans="1:5" ht="12.75">
      <c r="A77" s="40">
        <v>360</v>
      </c>
      <c r="B77" s="40">
        <f>(Calculations!$C$4-(SIN(RADIANS(A77)))*(Calculations!$C$6/2))</f>
        <v>110</v>
      </c>
      <c r="C77" s="40">
        <f>(Calculations!$C$7-((COS(RADIANS(A77)))*(Calculations!$C$7)))</f>
        <v>0</v>
      </c>
      <c r="D77" s="40">
        <f>((SIN(RADIANS(A77)))*(Calculations!$C$6/2))</f>
        <v>-3.185385982762412E-15</v>
      </c>
      <c r="E77" s="40">
        <f t="shared" si="0"/>
        <v>0</v>
      </c>
    </row>
    <row r="81" spans="23:27" ht="12.75">
      <c r="W81" s="62"/>
      <c r="X81" s="62"/>
      <c r="Y81" s="62"/>
      <c r="Z81" s="62"/>
      <c r="AA81" s="62"/>
    </row>
    <row r="82" spans="23:27" ht="12.75">
      <c r="W82" s="62"/>
      <c r="X82" s="62"/>
      <c r="Y82" s="62"/>
      <c r="Z82" s="62"/>
      <c r="AA82" s="6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3"/>
  <sheetViews>
    <sheetView zoomScale="95" zoomScaleNormal="95" workbookViewId="0" topLeftCell="A1">
      <selection activeCell="A1" sqref="A1:IV1"/>
    </sheetView>
  </sheetViews>
  <sheetFormatPr defaultColWidth="9.140625" defaultRowHeight="12.75"/>
  <cols>
    <col min="1" max="2" width="9.140625" style="38" customWidth="1"/>
    <col min="3" max="3" width="9.140625" style="40" customWidth="1"/>
    <col min="4" max="16384" width="9.140625" style="38" customWidth="1"/>
  </cols>
  <sheetData>
    <row r="2" ht="12.75"/>
    <row r="3" ht="15">
      <c r="B3" s="39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D26" sqref="D26"/>
    </sheetView>
  </sheetViews>
  <sheetFormatPr defaultColWidth="9.140625" defaultRowHeight="12.75"/>
  <cols>
    <col min="1" max="1" width="13.57421875" style="0" customWidth="1"/>
    <col min="2" max="2" width="75.7109375" style="0" customWidth="1"/>
    <col min="3" max="3" width="11.28125" style="34" customWidth="1"/>
  </cols>
  <sheetData>
    <row r="1" spans="1:12" s="4" customFormat="1" ht="20.25">
      <c r="A1" s="28" t="s">
        <v>108</v>
      </c>
      <c r="E1" s="3"/>
      <c r="F1" s="3"/>
      <c r="K1" s="84"/>
      <c r="L1" s="2" t="s">
        <v>116</v>
      </c>
    </row>
    <row r="2" ht="18">
      <c r="A2" s="29" t="s">
        <v>130</v>
      </c>
    </row>
    <row r="4" spans="1:3" ht="13.5" thickBot="1">
      <c r="A4" s="31" t="s">
        <v>66</v>
      </c>
      <c r="B4" s="31" t="s">
        <v>67</v>
      </c>
      <c r="C4" s="35" t="s">
        <v>68</v>
      </c>
    </row>
    <row r="5" spans="1:3" ht="6.75" customHeight="1">
      <c r="A5" s="30"/>
      <c r="B5" s="30"/>
      <c r="C5" s="36"/>
    </row>
    <row r="6" spans="1:3" ht="12.75">
      <c r="A6" s="20" t="s">
        <v>110</v>
      </c>
      <c r="B6" s="32"/>
      <c r="C6" s="34" t="s">
        <v>111</v>
      </c>
    </row>
    <row r="7" spans="1:3" ht="12.75">
      <c r="A7" s="20" t="s">
        <v>126</v>
      </c>
      <c r="B7" s="32" t="s">
        <v>128</v>
      </c>
      <c r="C7" s="34" t="s">
        <v>129</v>
      </c>
    </row>
    <row r="8" spans="1:2" ht="12.75">
      <c r="A8" s="20"/>
      <c r="B8" s="32" t="s">
        <v>127</v>
      </c>
    </row>
    <row r="9" spans="1:2" ht="12.75">
      <c r="A9" s="20"/>
      <c r="B9" s="32"/>
    </row>
    <row r="10" spans="1:2" ht="12.75">
      <c r="A10" s="20"/>
      <c r="B10" s="32"/>
    </row>
    <row r="11" spans="1:2" ht="12.75">
      <c r="A11" s="20"/>
      <c r="B11" s="32"/>
    </row>
    <row r="12" spans="1:2" ht="12.75">
      <c r="A12" s="20"/>
      <c r="B12" s="32"/>
    </row>
    <row r="13" spans="1:2" ht="12.75">
      <c r="A13" s="20"/>
      <c r="B13" s="32"/>
    </row>
    <row r="14" spans="1:2" ht="12.75">
      <c r="A14" s="20"/>
      <c r="B14" s="32"/>
    </row>
    <row r="15" spans="1:2" ht="12.75">
      <c r="A15" s="20"/>
      <c r="B15" s="32"/>
    </row>
    <row r="16" spans="1:2" ht="12.75">
      <c r="A16" s="20"/>
      <c r="B16" s="32"/>
    </row>
    <row r="17" spans="1:3" ht="12.75">
      <c r="A17" s="20"/>
      <c r="B17" s="32"/>
      <c r="C17" s="37"/>
    </row>
    <row r="18" spans="1:2" ht="12.75">
      <c r="A18" s="20"/>
      <c r="B18" s="32"/>
    </row>
    <row r="19" spans="1:2" ht="12.75">
      <c r="A19" s="20"/>
      <c r="B19" s="32"/>
    </row>
    <row r="20" spans="1:2" ht="12.75">
      <c r="A20" s="20"/>
      <c r="B20" s="32"/>
    </row>
    <row r="21" spans="1:2" ht="12.75">
      <c r="A21" s="20"/>
      <c r="B21" s="32"/>
    </row>
    <row r="22" spans="1:2" ht="12.75">
      <c r="A22" s="20"/>
      <c r="B22" s="32"/>
    </row>
    <row r="23" spans="1:2" ht="12.75">
      <c r="A23" s="20"/>
      <c r="B23" s="32"/>
    </row>
    <row r="24" spans="1:2" ht="12.75">
      <c r="A24" s="20"/>
      <c r="B24" s="32"/>
    </row>
    <row r="25" ht="12.75">
      <c r="B25" s="32"/>
    </row>
    <row r="26" spans="1:2" ht="12.75">
      <c r="A26" s="58"/>
      <c r="B26" s="32"/>
    </row>
    <row r="27" spans="1:2" ht="12.75">
      <c r="A27" s="20"/>
      <c r="B27" s="32"/>
    </row>
    <row r="28" spans="1:2" ht="12.75">
      <c r="A28" s="20"/>
      <c r="B28" s="32"/>
    </row>
    <row r="29" spans="1:2" ht="12.75">
      <c r="A29" s="20"/>
      <c r="B29" s="32"/>
    </row>
    <row r="30" spans="1:2" ht="12.75">
      <c r="A30" s="20"/>
      <c r="B30" s="32"/>
    </row>
    <row r="31" spans="1:2" ht="12.75">
      <c r="A31" s="20"/>
      <c r="B31" s="32"/>
    </row>
    <row r="32" spans="1:2" ht="12.75">
      <c r="A32" s="20"/>
      <c r="B32" s="32"/>
    </row>
    <row r="33" spans="1:2" ht="12.75">
      <c r="A33" s="20"/>
      <c r="B33" s="32"/>
    </row>
    <row r="34" spans="1:2" ht="12.75">
      <c r="A34" s="20"/>
      <c r="B34" s="32"/>
    </row>
    <row r="35" spans="1:2" ht="12.75">
      <c r="A35" s="20"/>
      <c r="B35" s="32"/>
    </row>
    <row r="36" spans="1:2" ht="12.75">
      <c r="A36" s="20"/>
      <c r="B36" s="32"/>
    </row>
    <row r="38" spans="1:2" ht="12.75">
      <c r="A38" s="20"/>
      <c r="B38" s="32"/>
    </row>
    <row r="39" spans="1:2" ht="12.75">
      <c r="A39" s="20"/>
      <c r="B39" s="32"/>
    </row>
    <row r="40" spans="1:2" ht="12.75">
      <c r="A40" s="20"/>
      <c r="B40" s="32"/>
    </row>
    <row r="41" spans="1:2" ht="12.75">
      <c r="A41" s="20"/>
      <c r="B41" s="32"/>
    </row>
    <row r="42" spans="1:2" ht="12.75">
      <c r="A42" s="20"/>
      <c r="B42" s="32"/>
    </row>
    <row r="43" ht="12.75">
      <c r="A43" s="2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Triaged</cp:lastModifiedBy>
  <cp:lastPrinted>2004-07-06T19:24:54Z</cp:lastPrinted>
  <dcterms:created xsi:type="dcterms:W3CDTF">2003-09-04T21:56:31Z</dcterms:created>
  <dcterms:modified xsi:type="dcterms:W3CDTF">2005-11-19T01:23:18Z</dcterms:modified>
  <cp:category/>
  <cp:version/>
  <cp:contentType/>
  <cp:contentStatus/>
</cp:coreProperties>
</file>