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<sst xmlns="http://schemas.openxmlformats.org/spreadsheetml/2006/main" count="509" uniqueCount="188">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</sst>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axId val="17240072"/>
        <c:axId val="20942921"/>
      </c:scatterChart>
      <c:valAx>
        <c:axId val="1724007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42921"/>
        <c:crossesAt val="0"/>
        <c:crossBetween val="midCat"/>
        <c:dispUnits/>
        <c:majorUnit val="20"/>
        <c:minorUnit val="5"/>
      </c:valAx>
      <c:valAx>
        <c:axId val="2094292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24007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crossBetween val="midCat"/>
        <c:dispUnits/>
      </c:valAx>
      <c:valAx>
        <c:axId val="18655011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54268562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(2)'!$N$53:$N$54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(2)'!$N$55:$N$56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(2)'!$N$43:$N$44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(2)'!$N$41:$N$42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>
                <c:ptCount val="4"/>
                <c:pt idx="0">
                  <c:v>7.105427357601002E-15</c:v>
                </c:pt>
                <c:pt idx="1">
                  <c:v>-5.818181818181813</c:v>
                </c:pt>
                <c:pt idx="2">
                  <c:v>-5.818181818181813</c:v>
                </c:pt>
                <c:pt idx="3">
                  <c:v>7.105427357601002E-15</c:v>
                </c:pt>
              </c:numCache>
            </c:numRef>
          </c:xVal>
          <c:yVal>
            <c:numRef>
              <c:f>'Travel (2)'!$N$47:$N$50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'Travel (2)'!$N$59:$N$62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'Travel (2)'!$D$40:$D$64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32</c:v>
                </c:pt>
                <c:pt idx="1">
                  <c:v>7.105427357601002E-15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32</c:v>
                </c:pt>
                <c:pt idx="1">
                  <c:v>28.000000000000004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>
                <c:ptCount val="2"/>
                <c:pt idx="0">
                  <c:v>32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(2)'!$I$40:$I$41</c:f>
              <c:numCache>
                <c:ptCount val="2"/>
                <c:pt idx="0">
                  <c:v>32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>
                <c:ptCount val="2"/>
                <c:pt idx="0">
                  <c:v>47</c:v>
                </c:pt>
                <c:pt idx="1">
                  <c:v>140.9999999999998</c:v>
                </c:pt>
              </c:numCache>
            </c:numRef>
          </c:xVal>
          <c:yVal>
            <c:numRef>
              <c:f>'Travel (2)'!$I$44:$I$45</c:f>
              <c:numCache>
                <c:ptCount val="2"/>
                <c:pt idx="0">
                  <c:v>28</c:v>
                </c:pt>
                <c:pt idx="1">
                  <c:v>45.624999999999964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>
                <c:ptCount val="3"/>
                <c:pt idx="0">
                  <c:v>0</c:v>
                </c:pt>
                <c:pt idx="1">
                  <c:v>140.9999999999998</c:v>
                </c:pt>
                <c:pt idx="2">
                  <c:v>108.5</c:v>
                </c:pt>
              </c:numCache>
            </c:numRef>
          </c:xVal>
          <c:yVal>
            <c:numRef>
              <c:f>'Travel (2)'!$I$48:$I$50</c:f>
              <c:numCache>
                <c:ptCount val="3"/>
                <c:pt idx="0">
                  <c:v>0</c:v>
                </c:pt>
                <c:pt idx="1">
                  <c:v>45.624999999999964</c:v>
                </c:pt>
                <c:pt idx="2">
                  <c:v>35.10859929078016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'Travel (2)'!$I$57:$I$58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'Travel (2)'!$I$62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>
                <c:ptCount val="1"/>
                <c:pt idx="0">
                  <c:v>140.9999999999998</c:v>
                </c:pt>
              </c:numCache>
            </c:numRef>
          </c:xVal>
          <c:yVal>
            <c:numRef>
              <c:f>'Travel (2)'!$I$35</c:f>
              <c:numCache>
                <c:ptCount val="1"/>
                <c:pt idx="0">
                  <c:v>45.624999999999964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21.5</c:v>
                </c:pt>
                <c:pt idx="1">
                  <c:v>21.265544456622766</c:v>
                </c:pt>
                <c:pt idx="2">
                  <c:v>20.625</c:v>
                </c:pt>
                <c:pt idx="3">
                  <c:v>19.75</c:v>
                </c:pt>
                <c:pt idx="4">
                  <c:v>18.875</c:v>
                </c:pt>
                <c:pt idx="5">
                  <c:v>18.234455543377234</c:v>
                </c:pt>
                <c:pt idx="6">
                  <c:v>18</c:v>
                </c:pt>
                <c:pt idx="7">
                  <c:v>18.234455543377234</c:v>
                </c:pt>
                <c:pt idx="8">
                  <c:v>18.875</c:v>
                </c:pt>
                <c:pt idx="9">
                  <c:v>19.75</c:v>
                </c:pt>
                <c:pt idx="10">
                  <c:v>20.625</c:v>
                </c:pt>
                <c:pt idx="11">
                  <c:v>21.265544456622766</c:v>
                </c:pt>
                <c:pt idx="12">
                  <c:v>21.5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>
                <c:ptCount val="2"/>
                <c:pt idx="0">
                  <c:v>0</c:v>
                </c:pt>
                <c:pt idx="1">
                  <c:v>53.94736842105263</c:v>
                </c:pt>
              </c:numCache>
            </c:numRef>
          </c:xVal>
          <c:yVal>
            <c:numRef>
              <c:f>'Travel (2)'!$I$62:$I$63</c:f>
              <c:numCache>
                <c:ptCount val="2"/>
                <c:pt idx="0">
                  <c:v>27.470338643823553</c:v>
                </c:pt>
                <c:pt idx="1">
                  <c:v>29.30263157894737</c:v>
                </c:pt>
              </c:numCache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'Travel (2)'!$E$20:$E$21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'Travel (2)'!$E$6:$E$7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>
                <c:ptCount val="3"/>
                <c:pt idx="0">
                  <c:v>3</c:v>
                </c:pt>
                <c:pt idx="1">
                  <c:v>7.105427357601002E-15</c:v>
                </c:pt>
                <c:pt idx="2">
                  <c:v>-20</c:v>
                </c:pt>
              </c:numCache>
            </c:numRef>
          </c:xVal>
          <c:yVal>
            <c:numRef>
              <c:f>'Travel (2)'!$M$74:$M$77</c:f>
              <c:numCache>
                <c:ptCount val="4"/>
                <c:pt idx="0">
                  <c:v>19.75</c:v>
                </c:pt>
                <c:pt idx="1">
                  <c:v>28.000000000000004</c:v>
                </c:pt>
                <c:pt idx="2">
                  <c:v>83.00000000000017</c:v>
                </c:pt>
              </c:numCache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>
                <c:ptCount val="3"/>
                <c:pt idx="0">
                  <c:v>3</c:v>
                </c:pt>
                <c:pt idx="1">
                  <c:v>0</c:v>
                </c:pt>
                <c:pt idx="2">
                  <c:v>-20</c:v>
                </c:pt>
              </c:numCache>
            </c:numRef>
          </c:xVal>
          <c:yVal>
            <c:numRef>
              <c:f>('Travel (2)'!$D$69,'Travel (2)'!$D$71,'Travel (2)'!$D$73)</c:f>
              <c:numCache>
                <c:ptCount val="3"/>
                <c:pt idx="0">
                  <c:v>19.75</c:v>
                </c:pt>
                <c:pt idx="1">
                  <c:v>28</c:v>
                </c:pt>
                <c:pt idx="2">
                  <c:v>90.67</c:v>
                </c:pt>
              </c:numCache>
            </c:numRef>
          </c:yVal>
          <c:smooth val="0"/>
        </c:ser>
        <c:axId val="33677372"/>
        <c:axId val="34660893"/>
      </c:scatterChart>
      <c:valAx>
        <c:axId val="3367737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60893"/>
        <c:crossesAt val="0"/>
        <c:crossBetween val="midCat"/>
        <c:dispUnits/>
        <c:majorUnit val="20"/>
        <c:minorUnit val="5"/>
      </c:valAx>
      <c:valAx>
        <c:axId val="3466089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67737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83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77</c:v>
                </c:pt>
                <c:pt idx="1">
                  <c:v>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-5.81818181818182</c:v>
                </c:pt>
                <c:pt idx="2">
                  <c:v>-5.81818181818182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82</c:v>
                </c:pt>
                <c:pt idx="1">
                  <c:v>80</c:v>
                </c:pt>
                <c:pt idx="2">
                  <c:v>80</c:v>
                </c:pt>
                <c:pt idx="3">
                  <c:v>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47</c:v>
                </c:pt>
                <c:pt idx="1">
                  <c:v>53.94736842105263</c:v>
                </c:pt>
                <c:pt idx="2">
                  <c:v>53.94736842105263</c:v>
                </c:pt>
                <c:pt idx="3">
                  <c:v>47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108.5</c:v>
                </c:pt>
                <c:pt idx="1">
                  <c:v>103.38832385922521</c:v>
                </c:pt>
                <c:pt idx="2">
                  <c:v>98.625</c:v>
                </c:pt>
                <c:pt idx="3">
                  <c:v>94.53464107156569</c:v>
                </c:pt>
                <c:pt idx="4">
                  <c:v>91.39599827525734</c:v>
                </c:pt>
                <c:pt idx="5">
                  <c:v>89.4229649307909</c:v>
                </c:pt>
                <c:pt idx="6">
                  <c:v>88.75</c:v>
                </c:pt>
                <c:pt idx="7">
                  <c:v>89.4229649307909</c:v>
                </c:pt>
                <c:pt idx="8">
                  <c:v>91.39599827525734</c:v>
                </c:pt>
                <c:pt idx="9">
                  <c:v>94.53464107156569</c:v>
                </c:pt>
                <c:pt idx="10">
                  <c:v>98.625</c:v>
                </c:pt>
                <c:pt idx="11">
                  <c:v>103.38832385922521</c:v>
                </c:pt>
                <c:pt idx="12">
                  <c:v>108.5</c:v>
                </c:pt>
                <c:pt idx="13">
                  <c:v>113.61167614077479</c:v>
                </c:pt>
                <c:pt idx="14">
                  <c:v>118.375</c:v>
                </c:pt>
                <c:pt idx="15">
                  <c:v>122.46535892843431</c:v>
                </c:pt>
                <c:pt idx="16">
                  <c:v>125.60400172474266</c:v>
                </c:pt>
                <c:pt idx="17">
                  <c:v>127.5770350692091</c:v>
                </c:pt>
                <c:pt idx="18">
                  <c:v>128.25</c:v>
                </c:pt>
                <c:pt idx="19">
                  <c:v>127.5770350692091</c:v>
                </c:pt>
                <c:pt idx="20">
                  <c:v>125.60400172474266</c:v>
                </c:pt>
                <c:pt idx="21">
                  <c:v>122.46535892843431</c:v>
                </c:pt>
                <c:pt idx="22">
                  <c:v>118.37500000000001</c:v>
                </c:pt>
                <c:pt idx="23">
                  <c:v>113.61167614077479</c:v>
                </c:pt>
                <c:pt idx="24">
                  <c:v>108.5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5.111676140774785</c:v>
                </c:pt>
                <c:pt idx="2">
                  <c:v>9.874999999999998</c:v>
                </c:pt>
                <c:pt idx="3">
                  <c:v>13.965358928434313</c:v>
                </c:pt>
                <c:pt idx="4">
                  <c:v>17.104001724742663</c:v>
                </c:pt>
                <c:pt idx="5">
                  <c:v>19.0770350692091</c:v>
                </c:pt>
                <c:pt idx="6">
                  <c:v>19.75</c:v>
                </c:pt>
                <c:pt idx="7">
                  <c:v>19.0770350692091</c:v>
                </c:pt>
                <c:pt idx="8">
                  <c:v>17.104001724742666</c:v>
                </c:pt>
                <c:pt idx="9">
                  <c:v>13.965358928434314</c:v>
                </c:pt>
                <c:pt idx="10">
                  <c:v>9.874999999999998</c:v>
                </c:pt>
                <c:pt idx="11">
                  <c:v>5.11167614077479</c:v>
                </c:pt>
                <c:pt idx="12">
                  <c:v>2.4196681984445245E-15</c:v>
                </c:pt>
                <c:pt idx="13">
                  <c:v>-5.111676140774786</c:v>
                </c:pt>
                <c:pt idx="14">
                  <c:v>-9.875000000000002</c:v>
                </c:pt>
                <c:pt idx="15">
                  <c:v>-13.965358928434313</c:v>
                </c:pt>
                <c:pt idx="16">
                  <c:v>-17.10400172474266</c:v>
                </c:pt>
                <c:pt idx="17">
                  <c:v>-19.0770350692091</c:v>
                </c:pt>
                <c:pt idx="18">
                  <c:v>-19.75</c:v>
                </c:pt>
                <c:pt idx="19">
                  <c:v>-19.077035069209103</c:v>
                </c:pt>
                <c:pt idx="20">
                  <c:v>-17.104001724742663</c:v>
                </c:pt>
                <c:pt idx="21">
                  <c:v>-13.965358928434316</c:v>
                </c:pt>
                <c:pt idx="22">
                  <c:v>-9.875000000000009</c:v>
                </c:pt>
                <c:pt idx="23">
                  <c:v>-5.111676140774784</c:v>
                </c:pt>
                <c:pt idx="24">
                  <c:v>-4.839336396889049E-15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0.6729649307909007</c:v>
                </c:pt>
                <c:pt idx="2">
                  <c:v>2.645998275257334</c:v>
                </c:pt>
                <c:pt idx="3">
                  <c:v>5.7846410715656855</c:v>
                </c:pt>
                <c:pt idx="4">
                  <c:v>9.874999999999998</c:v>
                </c:pt>
                <c:pt idx="5">
                  <c:v>14.638323859225215</c:v>
                </c:pt>
                <c:pt idx="6">
                  <c:v>19.75</c:v>
                </c:pt>
                <c:pt idx="7">
                  <c:v>24.861676140774787</c:v>
                </c:pt>
                <c:pt idx="8">
                  <c:v>29.624999999999996</c:v>
                </c:pt>
                <c:pt idx="9">
                  <c:v>33.71535892843431</c:v>
                </c:pt>
                <c:pt idx="10">
                  <c:v>36.854001724742666</c:v>
                </c:pt>
                <c:pt idx="11">
                  <c:v>38.827035069209096</c:v>
                </c:pt>
                <c:pt idx="12">
                  <c:v>39.5</c:v>
                </c:pt>
                <c:pt idx="13">
                  <c:v>38.8270350692091</c:v>
                </c:pt>
                <c:pt idx="14">
                  <c:v>36.85400172474266</c:v>
                </c:pt>
                <c:pt idx="15">
                  <c:v>33.71535892843431</c:v>
                </c:pt>
                <c:pt idx="16">
                  <c:v>29.625000000000007</c:v>
                </c:pt>
                <c:pt idx="17">
                  <c:v>24.861676140774783</c:v>
                </c:pt>
                <c:pt idx="18">
                  <c:v>19.750000000000004</c:v>
                </c:pt>
                <c:pt idx="19">
                  <c:v>14.638323859225224</c:v>
                </c:pt>
                <c:pt idx="20">
                  <c:v>9.874999999999998</c:v>
                </c:pt>
                <c:pt idx="21">
                  <c:v>5.784641071565689</c:v>
                </c:pt>
                <c:pt idx="22">
                  <c:v>2.645998275257341</c:v>
                </c:pt>
                <c:pt idx="23">
                  <c:v>0.6729649307909007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32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32</c:v>
                </c:pt>
                <c:pt idx="1">
                  <c:v>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47</c:v>
                </c:pt>
                <c:pt idx="1">
                  <c:v>3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28</c:v>
                </c:pt>
                <c:pt idx="1">
                  <c:v>19.75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32</c:v>
                </c:pt>
                <c:pt idx="1">
                  <c:v>141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32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47</c:v>
                </c:pt>
                <c:pt idx="1">
                  <c:v>141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28</c:v>
                </c:pt>
                <c:pt idx="1">
                  <c:v>45.625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141</c:v>
                </c:pt>
                <c:pt idx="2">
                  <c:v>108.5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45.625</c:v>
                </c:pt>
                <c:pt idx="2">
                  <c:v>35.10859929078014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36.85</c:v>
                </c:pt>
                <c:pt idx="1">
                  <c:v>36.85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108.5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36.85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27.470338643823553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141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45.625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21.75</c:v>
                </c:pt>
                <c:pt idx="1">
                  <c:v>21.48205080756888</c:v>
                </c:pt>
                <c:pt idx="2">
                  <c:v>20.75</c:v>
                </c:pt>
                <c:pt idx="3">
                  <c:v>19.75</c:v>
                </c:pt>
                <c:pt idx="4">
                  <c:v>18.75</c:v>
                </c:pt>
                <c:pt idx="5">
                  <c:v>18.01794919243112</c:v>
                </c:pt>
                <c:pt idx="6">
                  <c:v>17.75</c:v>
                </c:pt>
                <c:pt idx="7">
                  <c:v>18.01794919243112</c:v>
                </c:pt>
                <c:pt idx="8">
                  <c:v>18.75</c:v>
                </c:pt>
                <c:pt idx="9">
                  <c:v>19.75</c:v>
                </c:pt>
                <c:pt idx="10">
                  <c:v>20.75</c:v>
                </c:pt>
                <c:pt idx="11">
                  <c:v>21.482050807568875</c:v>
                </c:pt>
                <c:pt idx="12">
                  <c:v>21.75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-5.81818181818182</c:v>
                </c:pt>
                <c:pt idx="1">
                  <c:v>0</c:v>
                </c:pt>
                <c:pt idx="2">
                  <c:v>53.94736842105263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27.272727272727273</c:v>
                </c:pt>
                <c:pt idx="1">
                  <c:v>27.470338643823553</c:v>
                </c:pt>
                <c:pt idx="2">
                  <c:v>29.30263157894737</c:v>
                </c:pt>
              </c:numCache>
            </c:numRef>
          </c:yVal>
          <c:smooth val="0"/>
        </c:ser>
        <c:axId val="43512582"/>
        <c:axId val="56068919"/>
      </c:scatterChart>
      <c:valAx>
        <c:axId val="4351258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At val="0"/>
        <c:crossBetween val="midCat"/>
        <c:dispUnits/>
        <c:majorUnit val="20"/>
        <c:minorUnit val="5"/>
      </c:valAx>
      <c:valAx>
        <c:axId val="5606891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51258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3.xml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6"/>
  <sheetViews>
    <sheetView showGridLines="0" tabSelected="1" zoomScale="85" zoomScaleNormal="85" workbookViewId="0" topLeftCell="A1">
      <selection activeCell="S40" sqref="S40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1" t="s">
        <v>132</v>
      </c>
      <c r="C1" s="231"/>
      <c r="D1" s="231"/>
      <c r="E1" s="231"/>
      <c r="F1" s="231"/>
      <c r="G1" s="56"/>
      <c r="O1" s="128"/>
      <c r="P1" s="57" t="s">
        <v>30</v>
      </c>
    </row>
    <row r="2" spans="2:16" ht="15.75">
      <c r="B2" s="230" t="s">
        <v>32</v>
      </c>
      <c r="C2" s="230"/>
      <c r="D2" s="230"/>
      <c r="F2" s="230" t="s">
        <v>33</v>
      </c>
      <c r="G2" s="230"/>
      <c r="H2" s="230"/>
      <c r="I2" s="230"/>
      <c r="J2" s="230"/>
      <c r="K2" s="25"/>
      <c r="L2" s="230" t="s">
        <v>87</v>
      </c>
      <c r="M2" s="230"/>
      <c r="N2" s="230"/>
      <c r="O2" s="230"/>
      <c r="P2" s="230"/>
    </row>
    <row r="3" spans="2:16" ht="14.25" customHeight="1">
      <c r="B3" s="72" t="s">
        <v>2</v>
      </c>
      <c r="C3" s="73">
        <v>108.5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95.2743535706381</v>
      </c>
      <c r="N3" s="58" t="s">
        <v>7</v>
      </c>
      <c r="O3" s="221" t="s">
        <v>177</v>
      </c>
      <c r="P3" s="222">
        <f>'Travel (2)'!I30/100</f>
        <v>0.9527435357063816</v>
      </c>
    </row>
    <row r="4" spans="2:18" ht="14.25" customHeight="1">
      <c r="B4" s="14" t="s">
        <v>3</v>
      </c>
      <c r="C4" s="33">
        <v>39.5</v>
      </c>
      <c r="D4" s="41" t="s">
        <v>10</v>
      </c>
      <c r="E4" s="11"/>
      <c r="F4" s="14" t="s">
        <v>23</v>
      </c>
      <c r="G4" s="70">
        <v>32</v>
      </c>
      <c r="H4" s="70">
        <v>13</v>
      </c>
      <c r="I4" s="70">
        <v>32</v>
      </c>
      <c r="J4" s="39" t="s">
        <v>10</v>
      </c>
      <c r="L4" s="14" t="s">
        <v>69</v>
      </c>
      <c r="M4" s="69">
        <f>Roll_Center_Height</f>
        <v>27.470338643823553</v>
      </c>
      <c r="N4" s="24" t="s">
        <v>10</v>
      </c>
      <c r="O4" s="25" t="s">
        <v>179</v>
      </c>
      <c r="P4" s="224">
        <f>'Travel (2)'!I32</f>
        <v>27.470338643823553</v>
      </c>
      <c r="R4" s="17" t="s">
        <v>129</v>
      </c>
    </row>
    <row r="5" spans="2:18" ht="14.25" customHeight="1">
      <c r="B5" s="14" t="s">
        <v>86</v>
      </c>
      <c r="C5" s="32">
        <v>19.75</v>
      </c>
      <c r="D5" s="41" t="s">
        <v>10</v>
      </c>
      <c r="E5" s="11"/>
      <c r="F5" s="14" t="s">
        <v>24</v>
      </c>
      <c r="G5" s="70">
        <v>0</v>
      </c>
      <c r="H5" s="70">
        <v>2</v>
      </c>
      <c r="I5" s="70">
        <v>28</v>
      </c>
      <c r="J5" s="39" t="s">
        <v>10</v>
      </c>
      <c r="L5" s="14" t="s">
        <v>70</v>
      </c>
      <c r="M5" s="76">
        <f>Roll_Axis_Angle</f>
        <v>1.9452721092623408</v>
      </c>
      <c r="N5" s="86" t="str">
        <f>IF(M5&lt;0,"degrees (Roll Understeer)","degrees (Roll Oversteer)")</f>
        <v>degrees (Roll Oversteer)</v>
      </c>
      <c r="O5" s="25" t="s">
        <v>180</v>
      </c>
      <c r="P5" s="228">
        <f>'Travel (2)'!I33</f>
        <v>1.945272109262341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141</v>
      </c>
      <c r="N6" s="10" t="s">
        <v>10</v>
      </c>
      <c r="O6" s="25" t="s">
        <v>182</v>
      </c>
      <c r="P6" s="227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4200</v>
      </c>
      <c r="D7" s="41" t="s">
        <v>11</v>
      </c>
      <c r="E7" s="11"/>
      <c r="F7" s="14" t="s">
        <v>23</v>
      </c>
      <c r="G7" s="70">
        <v>47</v>
      </c>
      <c r="H7" s="70">
        <v>3</v>
      </c>
      <c r="I7" s="70">
        <v>28</v>
      </c>
      <c r="J7" s="39" t="s">
        <v>10</v>
      </c>
      <c r="L7" s="14" t="s">
        <v>42</v>
      </c>
      <c r="M7" s="27">
        <f>IF(ABS(IC_X)&gt;Plot!J3,"Parallel",IC_Z)</f>
        <v>45.625</v>
      </c>
      <c r="N7" s="10" t="s">
        <v>10</v>
      </c>
      <c r="O7" s="9" t="s">
        <v>181</v>
      </c>
      <c r="P7" s="223">
        <v>0</v>
      </c>
      <c r="R7" s="210" t="s">
        <v>143</v>
      </c>
    </row>
    <row r="8" spans="1:16" ht="14.25" customHeight="1">
      <c r="A8" s="12"/>
      <c r="B8" s="9" t="s">
        <v>136</v>
      </c>
      <c r="C8" s="204">
        <v>800</v>
      </c>
      <c r="D8" s="12" t="s">
        <v>11</v>
      </c>
      <c r="E8" s="11"/>
      <c r="F8" s="18" t="s">
        <v>24</v>
      </c>
      <c r="G8" s="74">
        <v>3</v>
      </c>
      <c r="H8" s="74">
        <v>22</v>
      </c>
      <c r="I8" s="74">
        <v>19.75</v>
      </c>
      <c r="J8" s="60" t="s">
        <v>10</v>
      </c>
      <c r="K8" s="25"/>
      <c r="L8" s="77"/>
      <c r="M8" s="6"/>
      <c r="N8" s="6"/>
      <c r="O8" s="226" t="s">
        <v>175</v>
      </c>
      <c r="P8" s="225">
        <v>1</v>
      </c>
    </row>
    <row r="9" spans="1:15" ht="14.25" customHeight="1">
      <c r="A9" s="12"/>
      <c r="B9" s="18" t="s">
        <v>122</v>
      </c>
      <c r="C9" s="205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5" ht="14.25" customHeight="1">
      <c r="H15" s="11"/>
      <c r="J15" s="24"/>
      <c r="K15" s="25"/>
      <c r="L15" s="27"/>
      <c r="M15" s="17"/>
      <c r="N15" s="24"/>
      <c r="O15" s="24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5" ht="14.25" customHeight="1">
      <c r="H17" s="9"/>
      <c r="N17" s="24"/>
      <c r="O17" s="24"/>
    </row>
    <row r="18" spans="8:15" ht="14.25" customHeight="1">
      <c r="H18" s="9"/>
      <c r="N18" s="24"/>
      <c r="O18" s="24"/>
    </row>
    <row r="19" spans="8:15" ht="14.25" customHeight="1">
      <c r="H19" s="9"/>
      <c r="N19" s="24"/>
      <c r="O19" s="24"/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L30" sqref="L30"/>
    </sheetView>
  </sheetViews>
  <sheetFormatPr defaultColWidth="9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35" t="str">
        <f>Main!B1</f>
        <v>4 Bar Linkage Calculator v3.0</v>
      </c>
      <c r="C1" s="235"/>
      <c r="D1" s="235"/>
      <c r="E1" s="235"/>
      <c r="F1" s="235"/>
      <c r="H1" s="110"/>
      <c r="I1" s="232" t="s">
        <v>112</v>
      </c>
      <c r="J1" s="232"/>
    </row>
    <row r="2" spans="2:10" ht="12.75">
      <c r="B2" s="83" t="s">
        <v>128</v>
      </c>
      <c r="C2" s="200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9">
        <f>(Vehicle_CG_Height*Vehicle_Mass-Front_Unsprung_Mass*Tire_Rolling_Radius-Rear_Unsprung_Mass*Tire_Rolling_Radius)/(Vehicle_Mass-Front_Unsprung_Mass-Rear_Unsprung_Mass)</f>
        <v>41.916666666666664</v>
      </c>
      <c r="D3" s="92" t="s">
        <v>10</v>
      </c>
      <c r="E3" s="199"/>
      <c r="G3" s="83"/>
      <c r="H3" s="17"/>
      <c r="N3" s="86"/>
    </row>
    <row r="4" spans="2:12" ht="12.75">
      <c r="B4" s="83" t="s">
        <v>127</v>
      </c>
      <c r="C4" s="199">
        <f>(Vehicle_CG_Height*Vehicle_Mass-Rear_Unsprung_Mass*Tire_Rolling_Radius)/(Vehicle_Mass-Rear_Unsprung_Mass)</f>
        <v>36.85</v>
      </c>
      <c r="D4" s="92" t="s">
        <v>10</v>
      </c>
      <c r="G4" s="83"/>
      <c r="I4" s="92"/>
      <c r="J4" s="92"/>
      <c r="K4" s="92"/>
      <c r="L4" s="92"/>
    </row>
    <row r="5" spans="2:12" ht="15.75">
      <c r="B5" s="233" t="s">
        <v>33</v>
      </c>
      <c r="C5" s="233"/>
      <c r="D5" s="233"/>
      <c r="E5" s="233"/>
      <c r="F5" s="233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32</v>
      </c>
      <c r="D7" s="111">
        <f>UF_Y</f>
        <v>13</v>
      </c>
      <c r="E7" s="111">
        <f>UF_Z</f>
        <v>32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2</v>
      </c>
      <c r="E8" s="111">
        <f>UA_Z</f>
        <v>28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32</v>
      </c>
      <c r="D9" s="89">
        <f>(UF_Y-UA_Y)</f>
        <v>11</v>
      </c>
      <c r="E9" s="89">
        <f>(UF_Z-UA_Z)</f>
        <v>4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34.07345007480164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0.9391476334139988</v>
      </c>
      <c r="D11" s="25">
        <f>(D9/$C$10)</f>
        <v>0.3228319989860621</v>
      </c>
      <c r="E11" s="25">
        <f>(E9/$C$10)</f>
        <v>0.11739345417674985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-5.81818181818182</v>
      </c>
      <c r="D12" s="25">
        <f>INTERCEPT(UF_Y:UA_Y,UF_X:UA_X)</f>
        <v>2</v>
      </c>
      <c r="E12" s="25">
        <f>INTERCEPT(UF_Z:UA_Z,UF_X:UA_X)</f>
        <v>28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-5.81818181818182</v>
      </c>
      <c r="D13" s="25">
        <v>0</v>
      </c>
      <c r="E13" s="25">
        <f>IF(C12="Parallel","N/A",(C17*C12+E12))</f>
        <v>27.272727272727273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32118.098678463593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30163.636363636364</v>
      </c>
      <c r="D15" s="90">
        <f>($C14*D11)</f>
        <v>10368.75</v>
      </c>
      <c r="E15" s="90">
        <f>($C14*E11)</f>
        <v>3770.4545454545455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0.34375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0.125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47</v>
      </c>
      <c r="D19" s="111">
        <f>LF_Y</f>
        <v>3</v>
      </c>
      <c r="E19" s="111">
        <f>LF_Z</f>
        <v>28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</v>
      </c>
      <c r="D20" s="111">
        <f>LA_Y</f>
        <v>22</v>
      </c>
      <c r="E20" s="111">
        <f>LA_Z</f>
        <v>19.75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44</v>
      </c>
      <c r="D21" s="89">
        <f>(LF_Y-LA_Y)</f>
        <v>-19</v>
      </c>
      <c r="E21" s="89">
        <f>(LF_Z-LA_Z)</f>
        <v>8.25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48.631908249625575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0.9047557783287018</v>
      </c>
      <c r="D23" s="25">
        <f>(D21/$C$22)</f>
        <v>-0.39068999518739395</v>
      </c>
      <c r="E23" s="25">
        <f>(E21/$C$22)</f>
        <v>0.1696417084366316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53.94736842105263</v>
      </c>
      <c r="D24" s="25">
        <f>INTERCEPT(LF_Y:LA_Y,LF_X:LA_X)</f>
        <v>23.295454545454547</v>
      </c>
      <c r="E24" s="25">
        <f>INTERCEPT(LF_Z:LA_Z,LF_X:LA_X)</f>
        <v>19.1875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53.94736842105263</v>
      </c>
      <c r="D25" s="25">
        <v>0</v>
      </c>
      <c r="E25" s="25">
        <f>IF(C24="Parallel","N/A",(C29*C24+E24))</f>
        <v>29.30263157894737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-44248.451916100326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-40034.04255319149</v>
      </c>
      <c r="D27" s="90">
        <f>($C26*D23)</f>
        <v>17287.427466150868</v>
      </c>
      <c r="E27" s="90">
        <f>($C26*E23)</f>
        <v>-7506.382978723404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-0.4318181818181818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0.1875</v>
      </c>
      <c r="D29" s="114" t="s">
        <v>9</v>
      </c>
      <c r="E29" s="115"/>
      <c r="F29" s="116"/>
    </row>
    <row r="30" spans="2:12" ht="15.75">
      <c r="B30" s="234" t="s">
        <v>87</v>
      </c>
      <c r="C30" s="234"/>
      <c r="D30" s="234"/>
      <c r="E30" s="234"/>
      <c r="F30" s="234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95.2743535706381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0.033964454407173175</v>
      </c>
      <c r="D32" s="86" t="str">
        <f>IF(C32&lt;0,"in/in (Roll Understeer)","in/in (Roll Oversteer)")</f>
        <v>in/in (Roll Oversteer)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27.470338643823553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1.9452721092623408</v>
      </c>
      <c r="D34" s="86" t="str">
        <f>IF(C34&lt;0,"degrees (Roll Understeer)","degrees (Roll Oversteer)")</f>
        <v>degrees (Roll Oversteer)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1">
        <f>IF(ISERROR((E12-E24)*(-1/(C17-C29))),"Parallel",(E12-E24)*(-1/(C17-C29)))</f>
        <v>141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2">
        <f>IF(ISERROR((C17*C35+E12)),"Parallel",(C17*C35+E12))</f>
        <v>45.625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85" zoomScaleNormal="85" workbookViewId="0" topLeftCell="A1">
      <selection activeCell="Q46" sqref="Q46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1" t="str">
        <f>Main!B1</f>
        <v>4 Bar Linkage Calculator v3.0</v>
      </c>
      <c r="C1" s="231"/>
      <c r="D1" s="231"/>
      <c r="E1" s="231"/>
      <c r="F1" s="231"/>
      <c r="G1" s="55"/>
    </row>
    <row r="2" spans="2:7" ht="20.25">
      <c r="B2" s="9" t="s">
        <v>175</v>
      </c>
      <c r="C2" s="220">
        <f>Main!P8</f>
        <v>1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f>Main!P7</f>
        <v>0</v>
      </c>
      <c r="D3" s="11" t="s">
        <v>10</v>
      </c>
      <c r="E3" s="9" t="s">
        <v>145</v>
      </c>
      <c r="F3" s="216">
        <f>K21-E21</f>
        <v>0</v>
      </c>
      <c r="G3" s="11" t="s">
        <v>10</v>
      </c>
      <c r="H3" s="218" t="s">
        <v>174</v>
      </c>
      <c r="I3" s="219">
        <f>I85-I88</f>
        <v>0</v>
      </c>
    </row>
    <row r="4" spans="2:14" ht="15.75">
      <c r="B4" s="230" t="s">
        <v>98</v>
      </c>
      <c r="C4" s="230"/>
      <c r="D4" s="230"/>
      <c r="E4" s="230"/>
      <c r="F4" s="230"/>
      <c r="G4" s="31"/>
      <c r="H4" s="230" t="s">
        <v>99</v>
      </c>
      <c r="I4" s="230"/>
      <c r="J4" s="230"/>
      <c r="K4" s="230"/>
      <c r="L4" s="230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3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32</v>
      </c>
      <c r="D6" s="126">
        <f>UF_Y</f>
        <v>13</v>
      </c>
      <c r="E6" s="126">
        <f>UF_Z</f>
        <v>32</v>
      </c>
      <c r="F6" s="87" t="s">
        <v>10</v>
      </c>
      <c r="G6" s="112"/>
      <c r="H6" s="14" t="str">
        <f>B6</f>
        <v>Frame End</v>
      </c>
      <c r="I6" s="126">
        <f>C6</f>
        <v>32</v>
      </c>
      <c r="J6" s="126">
        <f>D6</f>
        <v>13</v>
      </c>
      <c r="K6" s="126">
        <f>E6</f>
        <v>32</v>
      </c>
      <c r="L6" s="172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2</v>
      </c>
      <c r="E7" s="126">
        <f>UA_Z</f>
        <v>28</v>
      </c>
      <c r="F7" s="87" t="s">
        <v>10</v>
      </c>
      <c r="G7" s="112"/>
      <c r="H7" s="14" t="s">
        <v>24</v>
      </c>
      <c r="I7" s="127">
        <f>C83</f>
        <v>7.105427357601002E-15</v>
      </c>
      <c r="J7" s="126">
        <f>D7</f>
        <v>2</v>
      </c>
      <c r="K7" s="127">
        <f>D83</f>
        <v>28.000000000000004</v>
      </c>
      <c r="L7" s="87" t="s">
        <v>10</v>
      </c>
      <c r="N7" s="86"/>
    </row>
    <row r="8" spans="2:14" ht="12.75">
      <c r="B8" s="14" t="s">
        <v>13</v>
      </c>
      <c r="C8" s="89">
        <f>(C6-C7)</f>
        <v>32</v>
      </c>
      <c r="D8" s="89">
        <f>(D6-D7)</f>
        <v>11</v>
      </c>
      <c r="E8" s="89">
        <f>(E6-E7)</f>
        <v>4</v>
      </c>
      <c r="F8" s="87" t="s">
        <v>10</v>
      </c>
      <c r="G8" s="112"/>
      <c r="H8" s="88" t="s">
        <v>13</v>
      </c>
      <c r="I8" s="89">
        <f>(I6-I7)</f>
        <v>31.999999999999993</v>
      </c>
      <c r="J8" s="89">
        <f>(J6-J7)</f>
        <v>11</v>
      </c>
      <c r="K8" s="89">
        <f>(K6-K7)</f>
        <v>3.9999999999999964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34.07345007480164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34.073450074801634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8.77852493303972</v>
      </c>
      <c r="D10" s="86"/>
      <c r="E10" s="90"/>
      <c r="F10" s="87"/>
      <c r="G10" s="112"/>
      <c r="H10" s="91" t="s">
        <v>113</v>
      </c>
      <c r="I10" s="90">
        <f>SQRT((K7-K21)^2+(I7-I21)^2)</f>
        <v>8.77852493303972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7.105427357601002E-15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0.9391476334139988</v>
      </c>
      <c r="D12" s="25">
        <f>(D8/$C$9)</f>
        <v>0.3228319989860621</v>
      </c>
      <c r="E12" s="25">
        <f>(E8/$C$9)</f>
        <v>0.11739345417674985</v>
      </c>
      <c r="F12" s="26">
        <f>(C12^2+D12^2+E12^2)^0.5</f>
        <v>1</v>
      </c>
      <c r="G12" s="24"/>
      <c r="H12" s="30" t="s">
        <v>14</v>
      </c>
      <c r="I12" s="25">
        <f>(I8/$I$9)</f>
        <v>0.9391476334139988</v>
      </c>
      <c r="J12" s="25">
        <f>(J8/$I$9)</f>
        <v>0.32283199898606213</v>
      </c>
      <c r="K12" s="25">
        <f>(K8/$I$9)</f>
        <v>0.11739345417674976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-5.81818181818182</v>
      </c>
      <c r="D13" s="25">
        <f>INTERCEPT(D6:D7,C6:C7)</f>
        <v>2</v>
      </c>
      <c r="E13" s="25">
        <f>INTERCEPT(E6:E7,C6:C7)</f>
        <v>28</v>
      </c>
      <c r="F13" s="106" t="s">
        <v>10</v>
      </c>
      <c r="G13" s="214"/>
      <c r="H13" s="30" t="s">
        <v>15</v>
      </c>
      <c r="I13" s="25">
        <f>INTERCEPT(I6:I7,J6:J7)</f>
        <v>-5.818181818181813</v>
      </c>
      <c r="J13" s="25">
        <f>INTERCEPT(J6:J7,I6:I7)</f>
        <v>1.9999999999999973</v>
      </c>
      <c r="K13" s="25">
        <f>INTERCEPT(K6:K7,I6:I7)</f>
        <v>28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-5.81818181818182</v>
      </c>
      <c r="D14" s="25">
        <v>0</v>
      </c>
      <c r="E14" s="25">
        <f>(C17*C13+E13)</f>
        <v>27.272727272727273</v>
      </c>
      <c r="F14" s="106" t="s">
        <v>10</v>
      </c>
      <c r="G14" s="214"/>
      <c r="H14" s="30" t="s">
        <v>16</v>
      </c>
      <c r="I14" s="25">
        <f>(I13)</f>
        <v>-5.818181818181813</v>
      </c>
      <c r="J14" s="25">
        <v>0</v>
      </c>
      <c r="K14" s="25">
        <f>(I17*I13+K13)</f>
        <v>27.272727272727273</v>
      </c>
      <c r="L14" s="106" t="s">
        <v>10</v>
      </c>
      <c r="N14" s="24"/>
    </row>
    <row r="15" spans="2:14" ht="12.75">
      <c r="B15" s="30"/>
      <c r="C15" s="198"/>
      <c r="D15" s="198"/>
      <c r="E15" s="198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0.34375</v>
      </c>
      <c r="D16" s="24" t="s">
        <v>9</v>
      </c>
      <c r="E16" s="25"/>
      <c r="F16" s="106"/>
      <c r="G16" s="214"/>
      <c r="H16" s="30" t="s">
        <v>89</v>
      </c>
      <c r="I16" s="107">
        <f>(J6-J7)/(I6-I7)</f>
        <v>0.34375000000000006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0.125</v>
      </c>
      <c r="D17" s="24" t="s">
        <v>9</v>
      </c>
      <c r="E17" s="25"/>
      <c r="F17" s="106"/>
      <c r="G17" s="214"/>
      <c r="H17" s="30" t="s">
        <v>88</v>
      </c>
      <c r="I17" s="107">
        <f>(K6-K7)/(I6-I7)</f>
        <v>0.12499999999999992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7">
        <f>((Main!$C$7/2)*E21)/(C12*(E7-E21)+E12*C7)</f>
        <v>5353.016446410598</v>
      </c>
      <c r="D18" s="94" t="s">
        <v>11</v>
      </c>
      <c r="E18" s="95"/>
      <c r="F18" s="96"/>
      <c r="G18" s="92"/>
      <c r="H18" s="88" t="s">
        <v>17</v>
      </c>
      <c r="I18" s="197">
        <f>((Main!$C$7/2)*K21)/(I12*(K7-K21)+K12*I7)</f>
        <v>5353.016446410596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47</v>
      </c>
      <c r="D20" s="126">
        <f>Main!H7</f>
        <v>3</v>
      </c>
      <c r="E20" s="126">
        <f>Main!I7</f>
        <v>28</v>
      </c>
      <c r="F20" s="87" t="s">
        <v>10</v>
      </c>
      <c r="G20" s="112"/>
      <c r="H20" s="88" t="s">
        <v>23</v>
      </c>
      <c r="I20" s="126">
        <f>$C$20</f>
        <v>47</v>
      </c>
      <c r="J20" s="126">
        <f>$D$20</f>
        <v>3</v>
      </c>
      <c r="K20" s="126">
        <f>$E$20</f>
        <v>28</v>
      </c>
      <c r="L20" s="87" t="s">
        <v>10</v>
      </c>
      <c r="N20" s="92"/>
    </row>
    <row r="21" spans="2:14" ht="12.75">
      <c r="B21" s="14" t="s">
        <v>24</v>
      </c>
      <c r="C21" s="126">
        <f>Main!G8</f>
        <v>3</v>
      </c>
      <c r="D21" s="126">
        <f>Main!H8</f>
        <v>22</v>
      </c>
      <c r="E21" s="126">
        <f>Main!I8</f>
        <v>19.75</v>
      </c>
      <c r="F21" s="87" t="s">
        <v>10</v>
      </c>
      <c r="G21" s="112"/>
      <c r="H21" s="88" t="s">
        <v>24</v>
      </c>
      <c r="I21" s="127">
        <f>C81</f>
        <v>3</v>
      </c>
      <c r="J21" s="126">
        <f>$D$21</f>
        <v>22</v>
      </c>
      <c r="K21" s="127">
        <f>D81</f>
        <v>19.75</v>
      </c>
      <c r="L21" s="87" t="s">
        <v>10</v>
      </c>
      <c r="N21" s="92"/>
    </row>
    <row r="22" spans="2:14" ht="12.75">
      <c r="B22" s="30" t="s">
        <v>13</v>
      </c>
      <c r="C22" s="89">
        <f>(C20-C21)</f>
        <v>44</v>
      </c>
      <c r="D22" s="89">
        <f>(D20-D21)</f>
        <v>-19</v>
      </c>
      <c r="E22" s="89">
        <f>(E20-E21)</f>
        <v>8.25</v>
      </c>
      <c r="F22" s="87" t="s">
        <v>10</v>
      </c>
      <c r="G22" s="112"/>
      <c r="H22" s="91" t="s">
        <v>13</v>
      </c>
      <c r="I22" s="89">
        <f>(I20-I21)</f>
        <v>44</v>
      </c>
      <c r="J22" s="89">
        <f>(J20-J21)</f>
        <v>-19</v>
      </c>
      <c r="K22" s="89">
        <f>(K20-K21)</f>
        <v>8.25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48.631908249625575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48.631908249625575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0.9047557783287018</v>
      </c>
      <c r="D24" s="25">
        <f>(D22/$C$23)</f>
        <v>-0.39068999518739395</v>
      </c>
      <c r="E24" s="25">
        <f>(E22/$C$23)</f>
        <v>0.1696417084366316</v>
      </c>
      <c r="F24" s="26">
        <f>(C24^2+D24^2+E24^2)^0.5</f>
        <v>1</v>
      </c>
      <c r="G24" s="24"/>
      <c r="H24" s="30" t="s">
        <v>14</v>
      </c>
      <c r="I24" s="25">
        <f>(I22/I23)</f>
        <v>0.9047557783287018</v>
      </c>
      <c r="J24" s="25">
        <f>(J22/I23)</f>
        <v>-0.39068999518739395</v>
      </c>
      <c r="K24" s="25">
        <f>(K22/I23)</f>
        <v>0.1696417084366316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53.94736842105263</v>
      </c>
      <c r="D25" s="90">
        <f>INTERCEPT(D20:D21,C20:C21)</f>
        <v>23.295454545454547</v>
      </c>
      <c r="E25" s="90">
        <f>INTERCEPT(E20:E21,C20:C21)</f>
        <v>19.1875</v>
      </c>
      <c r="F25" s="87" t="s">
        <v>10</v>
      </c>
      <c r="G25" s="112"/>
      <c r="H25" s="91" t="s">
        <v>15</v>
      </c>
      <c r="I25" s="90">
        <f>INTERCEPT(I20:I21,J20:J21)</f>
        <v>53.94736842105263</v>
      </c>
      <c r="J25" s="90">
        <f>INTERCEPT(J20:J21,I20:I21)</f>
        <v>23.295454545454547</v>
      </c>
      <c r="K25" s="90">
        <f>INTERCEPT(K20:K21,I20:I21)</f>
        <v>19.1875</v>
      </c>
      <c r="L25" s="87" t="s">
        <v>10</v>
      </c>
      <c r="N25" s="86"/>
    </row>
    <row r="26" spans="2:14" ht="12.75">
      <c r="B26" s="30" t="s">
        <v>16</v>
      </c>
      <c r="C26" s="90">
        <f>(C25)</f>
        <v>53.94736842105263</v>
      </c>
      <c r="D26" s="90">
        <v>0</v>
      </c>
      <c r="E26" s="90">
        <f>(C28*C25+E25)</f>
        <v>29.30263157894737</v>
      </c>
      <c r="F26" s="87" t="s">
        <v>10</v>
      </c>
      <c r="G26" s="112"/>
      <c r="H26" s="91" t="s">
        <v>16</v>
      </c>
      <c r="I26" s="90">
        <f>(I25)</f>
        <v>53.94736842105263</v>
      </c>
      <c r="J26" s="90">
        <v>0</v>
      </c>
      <c r="K26" s="90">
        <f>(I28*I25+K25)</f>
        <v>29.30263157894737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-0.4318181818181818</v>
      </c>
      <c r="D27" s="24" t="s">
        <v>9</v>
      </c>
      <c r="E27" s="25"/>
      <c r="F27" s="106"/>
      <c r="G27" s="214"/>
      <c r="H27" s="30" t="s">
        <v>89</v>
      </c>
      <c r="I27" s="107">
        <f>(J20-J21)/(I20-I21)</f>
        <v>-0.4318181818181818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0.1875</v>
      </c>
      <c r="D28" s="24" t="s">
        <v>9</v>
      </c>
      <c r="E28" s="25"/>
      <c r="F28" s="106"/>
      <c r="G28" s="214"/>
      <c r="H28" s="30" t="s">
        <v>88</v>
      </c>
      <c r="I28" s="107">
        <f>(K20-K21)/(I20-I21)</f>
        <v>0.1875</v>
      </c>
      <c r="J28" s="24" t="s">
        <v>9</v>
      </c>
      <c r="K28" s="25"/>
      <c r="L28" s="106"/>
    </row>
    <row r="29" spans="2:14" ht="15.75">
      <c r="B29" s="241" t="s">
        <v>87</v>
      </c>
      <c r="C29" s="242"/>
      <c r="D29" s="92"/>
      <c r="E29" s="92"/>
      <c r="F29" s="96"/>
      <c r="G29" s="92"/>
      <c r="H29" s="239" t="s">
        <v>87</v>
      </c>
      <c r="I29" s="240"/>
      <c r="J29" s="92"/>
      <c r="K29" s="92"/>
      <c r="L29" s="96"/>
      <c r="N29" s="92"/>
    </row>
    <row r="30" spans="2:14" ht="12.75">
      <c r="B30" s="14" t="s">
        <v>8</v>
      </c>
      <c r="C30" s="98">
        <f>((C35/C34)*(Main!$C$3/VectorCalculations!$C$4))*100</f>
        <v>95.2743535706381</v>
      </c>
      <c r="D30" s="99" t="s">
        <v>7</v>
      </c>
      <c r="E30" s="99"/>
      <c r="F30" s="100"/>
      <c r="G30" s="99"/>
      <c r="H30" s="88" t="s">
        <v>8</v>
      </c>
      <c r="I30" s="98">
        <f>(((I35-$C$3)/I34)*(Main!$C$3/(VectorCalculations!$C$4-$C$3)))*100</f>
        <v>95.27435357063816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6">
        <f>IF(ISERROR((E26-E14)/(C25-C13)),C17,(E26-E14)/(C25-C13))</f>
        <v>0.033964454407173175</v>
      </c>
      <c r="D31" s="236" t="str">
        <f>IF(C31&lt;0,"in/in (Roll Understeer)","in/in (Roll Oversteer)")</f>
        <v>in/in (Roll Oversteer)</v>
      </c>
      <c r="E31" s="237"/>
      <c r="F31" s="238"/>
      <c r="G31" s="86"/>
      <c r="H31" s="91" t="s">
        <v>68</v>
      </c>
      <c r="I31" s="166">
        <f>IF(ISERROR((K26-K14)/(I25-I13)),I17,(K26-K14)/(I25-I13))</f>
        <v>0.03396445440717318</v>
      </c>
      <c r="J31" s="236" t="str">
        <f>IF(I31&lt;0,"in/in (Roll Understeer)","in/in (Roll Oversteer)")</f>
        <v>in/in (Roll Oversteer)</v>
      </c>
      <c r="K31" s="237"/>
      <c r="L31" s="238"/>
      <c r="N31" s="92"/>
    </row>
    <row r="32" spans="2:14" ht="12.75">
      <c r="B32" s="14" t="s">
        <v>69</v>
      </c>
      <c r="C32" s="98">
        <f>(C31*-C13)+E14</f>
        <v>27.470338643823553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27.470338643823553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1.9452721092623408</v>
      </c>
      <c r="D33" s="236" t="str">
        <f>IF(C33&lt;0,"degrees (Roll Understeer)","degrees (Roll Oversteer)")</f>
        <v>degrees (Roll Oversteer)</v>
      </c>
      <c r="E33" s="237"/>
      <c r="F33" s="238"/>
      <c r="G33" s="86"/>
      <c r="H33" s="88" t="s">
        <v>70</v>
      </c>
      <c r="I33" s="98">
        <f>(DEGREES(ATAN(I31)))</f>
        <v>1.945272109262341</v>
      </c>
      <c r="J33" s="236" t="str">
        <f>IF(I33&lt;0,"degrees (Roll Understeer)","degrees (Roll Oversteer)")</f>
        <v>degrees (Roll Oversteer)</v>
      </c>
      <c r="K33" s="237"/>
      <c r="L33" s="238"/>
      <c r="N33" s="92"/>
    </row>
    <row r="34" spans="2:14" ht="12.75">
      <c r="B34" s="14" t="s">
        <v>31</v>
      </c>
      <c r="C34" s="207">
        <f>(E13-E25)*(-1/(C17-C28))</f>
        <v>141</v>
      </c>
      <c r="D34" s="92" t="s">
        <v>10</v>
      </c>
      <c r="E34" s="92"/>
      <c r="F34" s="96"/>
      <c r="G34" s="92"/>
      <c r="H34" s="88" t="s">
        <v>31</v>
      </c>
      <c r="I34" s="207">
        <f>(K13-K25)*(-1/(I17-I28))</f>
        <v>140.9999999999998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7">
        <f>(C17*C34+E13)</f>
        <v>45.625</v>
      </c>
      <c r="D35" s="101" t="s">
        <v>10</v>
      </c>
      <c r="E35" s="101"/>
      <c r="F35" s="102"/>
      <c r="G35" s="101"/>
      <c r="H35" s="103" t="s">
        <v>42</v>
      </c>
      <c r="I35" s="207">
        <f>(I17*I34+K13)</f>
        <v>45.624999999999964</v>
      </c>
      <c r="J35" s="101" t="s">
        <v>10</v>
      </c>
      <c r="K35" s="101"/>
      <c r="L35" s="102"/>
      <c r="N35" s="92"/>
    </row>
    <row r="36" ht="12.75"/>
    <row r="37" spans="2:14" ht="12.75">
      <c r="B37" s="192" t="s">
        <v>77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74" t="s">
        <v>78</v>
      </c>
      <c r="M37" s="175"/>
      <c r="N37" s="176"/>
    </row>
    <row r="38" spans="2:14" ht="12.75">
      <c r="B38" s="193"/>
      <c r="C38" s="181" t="s">
        <v>71</v>
      </c>
      <c r="D38" s="182"/>
      <c r="E38" s="181" t="s">
        <v>72</v>
      </c>
      <c r="F38" s="182"/>
      <c r="G38" s="189"/>
      <c r="H38" s="181" t="s">
        <v>74</v>
      </c>
      <c r="I38" s="182"/>
      <c r="J38" s="173" t="s">
        <v>124</v>
      </c>
      <c r="K38" s="206">
        <f>Wheelbase*20</f>
        <v>2170</v>
      </c>
      <c r="L38" s="184" t="s">
        <v>84</v>
      </c>
      <c r="M38" s="185">
        <v>80</v>
      </c>
      <c r="N38" s="186"/>
    </row>
    <row r="39" spans="2:16" ht="12.75">
      <c r="B39" s="194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8"/>
      <c r="H39" s="66" t="s">
        <v>1</v>
      </c>
      <c r="I39" s="67" t="s">
        <v>5</v>
      </c>
      <c r="J39" s="181" t="s">
        <v>102</v>
      </c>
      <c r="K39" s="187">
        <v>3.5</v>
      </c>
      <c r="L39" s="181" t="s">
        <v>4</v>
      </c>
      <c r="M39" s="189"/>
      <c r="N39" s="182"/>
      <c r="O39" s="10" t="s">
        <v>1</v>
      </c>
      <c r="P39" s="10">
        <f>I21-C21</f>
        <v>0</v>
      </c>
    </row>
    <row r="40" spans="2:20" ht="12.75">
      <c r="B40" s="194">
        <v>0</v>
      </c>
      <c r="C40" s="66">
        <f aca="true" t="shared" si="0" ref="C40:C64">(Wheelbase-(SIN(RADIANS(B40)))*(Tire_Diameter/2))</f>
        <v>108.5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8"/>
      <c r="H40" s="66">
        <f>I6</f>
        <v>32</v>
      </c>
      <c r="I40" s="67">
        <f>K6</f>
        <v>32</v>
      </c>
      <c r="J40" s="66" t="s">
        <v>1</v>
      </c>
      <c r="K40" s="67" t="s">
        <v>5</v>
      </c>
      <c r="L40" s="66" t="s">
        <v>1</v>
      </c>
      <c r="M40" s="188" t="s">
        <v>0</v>
      </c>
      <c r="N40" s="67" t="s">
        <v>85</v>
      </c>
      <c r="P40" s="173"/>
      <c r="Q40" s="173"/>
      <c r="R40" s="173"/>
      <c r="S40" s="173"/>
      <c r="T40" s="173"/>
    </row>
    <row r="41" spans="2:20" ht="12.75">
      <c r="B41" s="194">
        <v>15</v>
      </c>
      <c r="C41" s="66">
        <f t="shared" si="0"/>
        <v>103.38832385922521</v>
      </c>
      <c r="D41" s="67">
        <f t="shared" si="1"/>
        <v>0.6729649307909007</v>
      </c>
      <c r="E41" s="66">
        <f t="shared" si="2"/>
        <v>5.111676140774785</v>
      </c>
      <c r="F41" s="67">
        <f aca="true" t="shared" si="3" ref="F41:F64">(D41)+$C$3</f>
        <v>0.6729649307909007</v>
      </c>
      <c r="G41" s="188"/>
      <c r="H41" s="64">
        <f>IF(ABS(I34)&gt;K38,$K$38,I34)</f>
        <v>140.9999999999998</v>
      </c>
      <c r="I41" s="65">
        <f>IF(H41=K38,H41*I17+K7,I35)</f>
        <v>45.624999999999964</v>
      </c>
      <c r="J41" s="66">
        <f>SIN(RADIANS(B40))*$K$39/2+P39</f>
        <v>0</v>
      </c>
      <c r="K41" s="67">
        <f>(COS(RADIANS(B40))*$K$39/2)+Tire_Rolling_Radius+$C$3</f>
        <v>21.5</v>
      </c>
      <c r="L41" s="66">
        <f>I6</f>
        <v>32</v>
      </c>
      <c r="M41" s="188">
        <f>J6</f>
        <v>13</v>
      </c>
      <c r="N41" s="67">
        <f>(M41+$M$38)</f>
        <v>93</v>
      </c>
      <c r="P41" s="178"/>
      <c r="Q41" s="178"/>
      <c r="R41" s="178"/>
      <c r="S41" s="178"/>
      <c r="T41" s="178"/>
    </row>
    <row r="42" spans="2:20" ht="12.75">
      <c r="B42" s="194">
        <v>30</v>
      </c>
      <c r="C42" s="66">
        <f t="shared" si="0"/>
        <v>98.625</v>
      </c>
      <c r="D42" s="67">
        <f t="shared" si="1"/>
        <v>2.645998275257334</v>
      </c>
      <c r="E42" s="66">
        <f t="shared" si="2"/>
        <v>9.874999999999998</v>
      </c>
      <c r="F42" s="67">
        <f t="shared" si="3"/>
        <v>2.645998275257334</v>
      </c>
      <c r="G42" s="188"/>
      <c r="H42" s="181" t="s">
        <v>73</v>
      </c>
      <c r="I42" s="182"/>
      <c r="J42" s="66">
        <f>SIN(RADIANS(B42))*$K$39/2+P39</f>
        <v>0.8749999999999999</v>
      </c>
      <c r="K42" s="67">
        <f>(COS(RADIANS(B42))*$K$39/2)+Tire_Rolling_Radius+$C$3</f>
        <v>21.265544456622766</v>
      </c>
      <c r="L42" s="66">
        <f>I7</f>
        <v>7.105427357601002E-15</v>
      </c>
      <c r="M42" s="188">
        <f>J7</f>
        <v>2</v>
      </c>
      <c r="N42" s="67">
        <f>(M42+$M$38)</f>
        <v>82</v>
      </c>
      <c r="P42" s="173"/>
      <c r="Q42" s="173"/>
      <c r="R42" s="173"/>
      <c r="S42" s="173"/>
      <c r="T42" s="173"/>
    </row>
    <row r="43" spans="2:20" ht="12.75">
      <c r="B43" s="194">
        <v>45</v>
      </c>
      <c r="C43" s="66">
        <f t="shared" si="0"/>
        <v>94.53464107156569</v>
      </c>
      <c r="D43" s="67">
        <f t="shared" si="1"/>
        <v>5.7846410715656855</v>
      </c>
      <c r="E43" s="66">
        <f t="shared" si="2"/>
        <v>13.965358928434313</v>
      </c>
      <c r="F43" s="67">
        <f t="shared" si="3"/>
        <v>5.7846410715656855</v>
      </c>
      <c r="G43" s="188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20.625</v>
      </c>
      <c r="L43" s="66">
        <f>I6</f>
        <v>32</v>
      </c>
      <c r="M43" s="188">
        <f>(-M41)</f>
        <v>-13</v>
      </c>
      <c r="N43" s="67">
        <f>(M43+$M$38)</f>
        <v>67</v>
      </c>
      <c r="P43" s="173"/>
      <c r="Q43" s="173"/>
      <c r="R43" s="173"/>
      <c r="S43" s="173"/>
      <c r="T43" s="173"/>
    </row>
    <row r="44" spans="2:20" ht="12.75">
      <c r="B44" s="194">
        <v>60</v>
      </c>
      <c r="C44" s="66">
        <f t="shared" si="0"/>
        <v>91.39599827525734</v>
      </c>
      <c r="D44" s="67">
        <f t="shared" si="1"/>
        <v>9.874999999999998</v>
      </c>
      <c r="E44" s="66">
        <f t="shared" si="2"/>
        <v>17.104001724742663</v>
      </c>
      <c r="F44" s="67">
        <f t="shared" si="3"/>
        <v>9.874999999999998</v>
      </c>
      <c r="G44" s="188"/>
      <c r="H44" s="66">
        <f>I20</f>
        <v>47</v>
      </c>
      <c r="I44" s="67">
        <f>K20</f>
        <v>28</v>
      </c>
      <c r="J44" s="66">
        <f>SIN(RADIANS(B46))*$K$39/2+P39</f>
        <v>1.75</v>
      </c>
      <c r="K44" s="67">
        <f>(COS(RADIANS(B46))*$K$39/2)+Tire_Rolling_Radius+$C$3</f>
        <v>19.75</v>
      </c>
      <c r="L44" s="64">
        <f>I7</f>
        <v>7.105427357601002E-15</v>
      </c>
      <c r="M44" s="190">
        <f>(-M42)</f>
        <v>-2</v>
      </c>
      <c r="N44" s="65">
        <f>(M44+$M$38)</f>
        <v>78</v>
      </c>
      <c r="P44" s="173"/>
      <c r="Q44" s="173"/>
      <c r="R44" s="173"/>
      <c r="S44" s="173"/>
      <c r="T44" s="173"/>
    </row>
    <row r="45" spans="2:20" ht="12.75">
      <c r="B45" s="194">
        <v>75</v>
      </c>
      <c r="C45" s="66">
        <f t="shared" si="0"/>
        <v>89.4229649307909</v>
      </c>
      <c r="D45" s="67">
        <f t="shared" si="1"/>
        <v>14.638323859225215</v>
      </c>
      <c r="E45" s="66">
        <f t="shared" si="2"/>
        <v>19.0770350692091</v>
      </c>
      <c r="F45" s="67">
        <f t="shared" si="3"/>
        <v>14.638323859225215</v>
      </c>
      <c r="G45" s="188"/>
      <c r="H45" s="64">
        <f>IF(ABS(I34)&gt;K38,$K$38,I34)</f>
        <v>140.9999999999998</v>
      </c>
      <c r="I45" s="65">
        <f>IF(H45=K38,H45*I28+K21,I35)</f>
        <v>45.624999999999964</v>
      </c>
      <c r="J45" s="66">
        <f>SIN(RADIANS(B48))*$K$39/2+P39</f>
        <v>1.5155444566227678</v>
      </c>
      <c r="K45" s="67">
        <f>(COS(RADIANS(B48))*$K$39/2)+Tire_Rolling_Radius+$C$3</f>
        <v>18.875</v>
      </c>
      <c r="L45" s="181" t="s">
        <v>74</v>
      </c>
      <c r="M45" s="189"/>
      <c r="N45" s="182"/>
      <c r="P45" s="173"/>
      <c r="Q45" s="173"/>
      <c r="R45" s="173"/>
      <c r="S45" s="173"/>
      <c r="T45" s="173"/>
    </row>
    <row r="46" spans="2:20" ht="12.75">
      <c r="B46" s="194">
        <v>90</v>
      </c>
      <c r="C46" s="66">
        <f t="shared" si="0"/>
        <v>88.75</v>
      </c>
      <c r="D46" s="67">
        <f t="shared" si="1"/>
        <v>19.75</v>
      </c>
      <c r="E46" s="66">
        <f t="shared" si="2"/>
        <v>19.75</v>
      </c>
      <c r="F46" s="67">
        <f t="shared" si="3"/>
        <v>19.75</v>
      </c>
      <c r="G46" s="188"/>
      <c r="H46" s="181" t="s">
        <v>75</v>
      </c>
      <c r="I46" s="182"/>
      <c r="J46" s="66">
        <f>SIN(RADIANS(B50))*$K$39/2+P39</f>
        <v>0.8749999999999999</v>
      </c>
      <c r="K46" s="67">
        <f>(COS(RADIANS(B50))*$K$39/2)+Tire_Rolling_Radius+$C$3</f>
        <v>18.234455543377234</v>
      </c>
      <c r="L46" s="66" t="s">
        <v>1</v>
      </c>
      <c r="M46" s="188" t="s">
        <v>0</v>
      </c>
      <c r="N46" s="67"/>
      <c r="P46" s="173"/>
      <c r="Q46" s="173"/>
      <c r="R46" s="173"/>
      <c r="S46" s="173"/>
      <c r="T46" s="173"/>
    </row>
    <row r="47" spans="2:20" ht="12.75">
      <c r="B47" s="194">
        <v>105</v>
      </c>
      <c r="C47" s="66">
        <f t="shared" si="0"/>
        <v>89.4229649307909</v>
      </c>
      <c r="D47" s="67">
        <f t="shared" si="1"/>
        <v>24.861676140774787</v>
      </c>
      <c r="E47" s="66">
        <f t="shared" si="2"/>
        <v>19.0770350692091</v>
      </c>
      <c r="F47" s="67">
        <f t="shared" si="3"/>
        <v>24.861676140774787</v>
      </c>
      <c r="G47" s="188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18</v>
      </c>
      <c r="L47" s="66">
        <f>L42</f>
        <v>7.105427357601002E-15</v>
      </c>
      <c r="M47" s="188">
        <f>M42</f>
        <v>2</v>
      </c>
      <c r="N47" s="67">
        <f>(M47+$M$38)</f>
        <v>82</v>
      </c>
      <c r="P47" s="173"/>
      <c r="Q47" s="173"/>
      <c r="R47" s="173"/>
      <c r="S47" s="173"/>
      <c r="T47" s="173"/>
    </row>
    <row r="48" spans="2:20" ht="12.75">
      <c r="B48" s="194">
        <v>120</v>
      </c>
      <c r="C48" s="66">
        <f t="shared" si="0"/>
        <v>91.39599827525734</v>
      </c>
      <c r="D48" s="67">
        <f t="shared" si="1"/>
        <v>29.624999999999996</v>
      </c>
      <c r="E48" s="66">
        <f t="shared" si="2"/>
        <v>17.104001724742666</v>
      </c>
      <c r="F48" s="67">
        <f t="shared" si="3"/>
        <v>29.624999999999996</v>
      </c>
      <c r="G48" s="188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18.234455543377234</v>
      </c>
      <c r="L48" s="66">
        <f>IF(I14="Parallel",$K$38,I14)</f>
        <v>-5.818181818181813</v>
      </c>
      <c r="M48" s="188">
        <f>IF(L48=K38,M47,J14)</f>
        <v>0</v>
      </c>
      <c r="N48" s="67">
        <f>(M48+$M$38)</f>
        <v>80</v>
      </c>
      <c r="P48" s="173"/>
      <c r="Q48" s="173"/>
      <c r="R48" s="173"/>
      <c r="S48" s="173"/>
      <c r="T48" s="173"/>
    </row>
    <row r="49" spans="2:20" ht="12.75">
      <c r="B49" s="194">
        <v>135</v>
      </c>
      <c r="C49" s="66">
        <f t="shared" si="0"/>
        <v>94.53464107156569</v>
      </c>
      <c r="D49" s="67">
        <f t="shared" si="1"/>
        <v>33.71535892843431</v>
      </c>
      <c r="E49" s="66">
        <f t="shared" si="2"/>
        <v>13.965358928434314</v>
      </c>
      <c r="F49" s="67">
        <f t="shared" si="3"/>
        <v>33.71535892843431</v>
      </c>
      <c r="G49" s="188"/>
      <c r="H49" s="66">
        <f>IF(ABS(I34)&gt;K38,$K$38,I34)</f>
        <v>140.9999999999998</v>
      </c>
      <c r="I49" s="67">
        <f>IF(H49=K38,H49*I28+K7,I35)</f>
        <v>45.624999999999964</v>
      </c>
      <c r="J49" s="66">
        <f>SIN(RADIANS(B56))*$K$39/2+P39</f>
        <v>-1.5155444566227672</v>
      </c>
      <c r="K49" s="67">
        <f>(COS(RADIANS(B56))*$K$39/2)+Tire_Rolling_Radius+$C$3</f>
        <v>18.875</v>
      </c>
      <c r="L49" s="66">
        <f>IF(I14="Parallel",$K$38,I14)</f>
        <v>-5.818181818181813</v>
      </c>
      <c r="M49" s="188">
        <f>IF(L49=K38,M50,J14)</f>
        <v>0</v>
      </c>
      <c r="N49" s="67">
        <f>(M49+$M$38)</f>
        <v>80</v>
      </c>
      <c r="P49" s="173"/>
      <c r="Q49" s="173"/>
      <c r="R49" s="173"/>
      <c r="S49" s="173"/>
      <c r="T49" s="173"/>
    </row>
    <row r="50" spans="2:20" ht="12.75">
      <c r="B50" s="194">
        <v>150</v>
      </c>
      <c r="C50" s="66">
        <f t="shared" si="0"/>
        <v>98.625</v>
      </c>
      <c r="D50" s="67">
        <f t="shared" si="1"/>
        <v>36.854001724742666</v>
      </c>
      <c r="E50" s="66">
        <f t="shared" si="2"/>
        <v>9.874999999999998</v>
      </c>
      <c r="F50" s="67">
        <f t="shared" si="3"/>
        <v>36.854001724742666</v>
      </c>
      <c r="G50" s="188"/>
      <c r="H50" s="64">
        <f>Wheelbase</f>
        <v>108.5</v>
      </c>
      <c r="I50" s="65">
        <f>FORECAST(H50,I48:I49,H48:H49)</f>
        <v>35.10859929078016</v>
      </c>
      <c r="J50" s="66">
        <f>SIN(RADIANS(B58))*$K$39/2+P39</f>
        <v>-1.75</v>
      </c>
      <c r="K50" s="67">
        <f>(COS(RADIANS(B58))*$K$39/2)+Tire_Rolling_Radius+$C$3</f>
        <v>19.75</v>
      </c>
      <c r="L50" s="64">
        <f>L47</f>
        <v>7.105427357601002E-15</v>
      </c>
      <c r="M50" s="190">
        <f>-M47</f>
        <v>-2</v>
      </c>
      <c r="N50" s="65">
        <f>(M50+$M$38)</f>
        <v>78</v>
      </c>
      <c r="P50" s="173"/>
      <c r="Q50" s="173"/>
      <c r="R50" s="173"/>
      <c r="S50" s="173"/>
      <c r="T50" s="173"/>
    </row>
    <row r="51" spans="2:20" ht="12.75">
      <c r="B51" s="194">
        <v>165</v>
      </c>
      <c r="C51" s="66">
        <f t="shared" si="0"/>
        <v>103.38832385922521</v>
      </c>
      <c r="D51" s="67">
        <f t="shared" si="1"/>
        <v>38.827035069209096</v>
      </c>
      <c r="E51" s="66">
        <f t="shared" si="2"/>
        <v>5.11167614077479</v>
      </c>
      <c r="F51" s="67">
        <f t="shared" si="3"/>
        <v>38.827035069209096</v>
      </c>
      <c r="G51" s="188"/>
      <c r="H51" s="181" t="s">
        <v>127</v>
      </c>
      <c r="I51" s="182"/>
      <c r="J51" s="66">
        <f>SIN(RADIANS(B60))*$K$39/2+P39</f>
        <v>-1.5155444566227676</v>
      </c>
      <c r="K51" s="67">
        <f>(COS(RADIANS(B60))*$K$39/2)+Tire_Rolling_Radius+$C$3</f>
        <v>20.625</v>
      </c>
      <c r="L51" s="181" t="s">
        <v>6</v>
      </c>
      <c r="M51" s="189"/>
      <c r="N51" s="182"/>
      <c r="P51" s="173"/>
      <c r="Q51" s="173"/>
      <c r="R51" s="173"/>
      <c r="S51" s="173"/>
      <c r="T51" s="173"/>
    </row>
    <row r="52" spans="2:23" ht="12.75">
      <c r="B52" s="194">
        <v>180</v>
      </c>
      <c r="C52" s="66">
        <f t="shared" si="0"/>
        <v>108.5</v>
      </c>
      <c r="D52" s="67">
        <f t="shared" si="1"/>
        <v>39.5</v>
      </c>
      <c r="E52" s="66">
        <f t="shared" si="2"/>
        <v>2.4196681984445245E-15</v>
      </c>
      <c r="F52" s="67">
        <f t="shared" si="3"/>
        <v>39.5</v>
      </c>
      <c r="G52" s="188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21.265544456622766</v>
      </c>
      <c r="L52" s="66" t="s">
        <v>1</v>
      </c>
      <c r="M52" s="188" t="s">
        <v>0</v>
      </c>
      <c r="N52" s="67"/>
      <c r="Q52" s="173"/>
      <c r="R52" s="173"/>
      <c r="S52" s="173"/>
      <c r="T52" s="173"/>
      <c r="U52" s="173"/>
      <c r="V52" s="173"/>
      <c r="W52" s="173"/>
    </row>
    <row r="53" spans="2:23" ht="12.75">
      <c r="B53" s="194">
        <v>195</v>
      </c>
      <c r="C53" s="66">
        <f t="shared" si="0"/>
        <v>113.61167614077479</v>
      </c>
      <c r="D53" s="67">
        <f t="shared" si="1"/>
        <v>38.8270350692091</v>
      </c>
      <c r="E53" s="66">
        <f t="shared" si="2"/>
        <v>-5.111676140774786</v>
      </c>
      <c r="F53" s="67">
        <f t="shared" si="3"/>
        <v>38.8270350692091</v>
      </c>
      <c r="G53" s="188"/>
      <c r="H53" s="66">
        <v>-20</v>
      </c>
      <c r="I53" s="67">
        <f>VectorCalculations!C4</f>
        <v>36.85</v>
      </c>
      <c r="J53" s="64">
        <f>SIN(RADIANS(B64))*$K$39/2+P39</f>
        <v>-4.28801959218017E-16</v>
      </c>
      <c r="K53" s="65">
        <f>(COS(RADIANS(B64))*$K$39/2)+Tire_Rolling_Radius+$C$3</f>
        <v>21.5</v>
      </c>
      <c r="L53" s="66">
        <f>I20</f>
        <v>47</v>
      </c>
      <c r="M53" s="188">
        <f>J20</f>
        <v>3</v>
      </c>
      <c r="N53" s="67">
        <f>(M53+$M$38)</f>
        <v>83</v>
      </c>
      <c r="Q53" s="173"/>
      <c r="R53" s="173"/>
      <c r="S53" s="173"/>
      <c r="T53" s="173"/>
      <c r="U53" s="173"/>
      <c r="V53" s="173"/>
      <c r="W53" s="173"/>
    </row>
    <row r="54" spans="2:23" ht="12.75">
      <c r="B54" s="194">
        <v>210</v>
      </c>
      <c r="C54" s="66">
        <f t="shared" si="0"/>
        <v>118.375</v>
      </c>
      <c r="D54" s="67">
        <f t="shared" si="1"/>
        <v>36.85400172474266</v>
      </c>
      <c r="E54" s="66">
        <f t="shared" si="2"/>
        <v>-9.875000000000002</v>
      </c>
      <c r="F54" s="67">
        <f t="shared" si="3"/>
        <v>36.85400172474266</v>
      </c>
      <c r="G54" s="188"/>
      <c r="H54" s="64">
        <v>120</v>
      </c>
      <c r="I54" s="65">
        <f>VectorCalculations!C4</f>
        <v>36.85</v>
      </c>
      <c r="J54" s="173"/>
      <c r="K54" s="173"/>
      <c r="L54" s="66">
        <f>I21</f>
        <v>3</v>
      </c>
      <c r="M54" s="188">
        <f>J21</f>
        <v>22</v>
      </c>
      <c r="N54" s="67">
        <f>(M54+$M$38)</f>
        <v>102</v>
      </c>
      <c r="Q54" s="173"/>
      <c r="R54" s="173"/>
      <c r="S54" s="173"/>
      <c r="T54" s="173"/>
      <c r="U54" s="173"/>
      <c r="V54" s="173"/>
      <c r="W54" s="173"/>
    </row>
    <row r="55" spans="2:23" ht="12.75">
      <c r="B55" s="194">
        <v>225</v>
      </c>
      <c r="C55" s="66">
        <f t="shared" si="0"/>
        <v>122.46535892843431</v>
      </c>
      <c r="D55" s="67">
        <f t="shared" si="1"/>
        <v>33.71535892843431</v>
      </c>
      <c r="E55" s="66">
        <f t="shared" si="2"/>
        <v>-13.965358928434313</v>
      </c>
      <c r="F55" s="67">
        <f t="shared" si="3"/>
        <v>33.71535892843431</v>
      </c>
      <c r="G55" s="188"/>
      <c r="H55" s="181" t="s">
        <v>76</v>
      </c>
      <c r="I55" s="182"/>
      <c r="J55" s="173"/>
      <c r="K55" s="173"/>
      <c r="L55" s="66">
        <f>(L53)</f>
        <v>47</v>
      </c>
      <c r="M55" s="188">
        <f>(-M53)</f>
        <v>-3</v>
      </c>
      <c r="N55" s="67">
        <f>(M55+$M$38)</f>
        <v>77</v>
      </c>
      <c r="Q55" s="173"/>
      <c r="R55" s="173"/>
      <c r="S55" s="173"/>
      <c r="T55" s="173"/>
      <c r="U55" s="173"/>
      <c r="V55" s="173"/>
      <c r="W55" s="173"/>
    </row>
    <row r="56" spans="2:23" ht="12.75">
      <c r="B56" s="194">
        <v>240</v>
      </c>
      <c r="C56" s="66">
        <f t="shared" si="0"/>
        <v>125.60400172474266</v>
      </c>
      <c r="D56" s="67">
        <f t="shared" si="1"/>
        <v>29.625000000000007</v>
      </c>
      <c r="E56" s="66">
        <f t="shared" si="2"/>
        <v>-17.10400172474266</v>
      </c>
      <c r="F56" s="67">
        <f t="shared" si="3"/>
        <v>29.625000000000007</v>
      </c>
      <c r="G56" s="188"/>
      <c r="H56" s="66" t="s">
        <v>1</v>
      </c>
      <c r="I56" s="67" t="s">
        <v>5</v>
      </c>
      <c r="J56" s="173"/>
      <c r="K56" s="173"/>
      <c r="L56" s="64">
        <f>L54</f>
        <v>3</v>
      </c>
      <c r="M56" s="190">
        <f>(-M54)</f>
        <v>-22</v>
      </c>
      <c r="N56" s="65">
        <f>(M56+$M$38)</f>
        <v>58</v>
      </c>
      <c r="Q56" s="173"/>
      <c r="R56" s="173"/>
      <c r="S56" s="173"/>
      <c r="T56" s="173"/>
      <c r="U56" s="173"/>
      <c r="V56" s="173"/>
      <c r="W56" s="173"/>
    </row>
    <row r="57" spans="2:23" ht="12.75">
      <c r="B57" s="194">
        <v>255</v>
      </c>
      <c r="C57" s="66">
        <f t="shared" si="0"/>
        <v>127.5770350692091</v>
      </c>
      <c r="D57" s="67">
        <f t="shared" si="1"/>
        <v>24.861676140774783</v>
      </c>
      <c r="E57" s="66">
        <f t="shared" si="2"/>
        <v>-19.0770350692091</v>
      </c>
      <c r="F57" s="67">
        <f t="shared" si="3"/>
        <v>24.861676140774783</v>
      </c>
      <c r="G57" s="188"/>
      <c r="H57" s="66">
        <f>P39</f>
        <v>0</v>
      </c>
      <c r="I57" s="67">
        <f>C3</f>
        <v>0</v>
      </c>
      <c r="J57" s="173"/>
      <c r="K57" s="173"/>
      <c r="L57" s="181" t="s">
        <v>73</v>
      </c>
      <c r="M57" s="189"/>
      <c r="N57" s="182"/>
      <c r="Q57" s="173"/>
      <c r="R57" s="173"/>
      <c r="S57" s="173"/>
      <c r="T57" s="173"/>
      <c r="U57" s="173"/>
      <c r="V57" s="173"/>
      <c r="W57" s="173"/>
    </row>
    <row r="58" spans="2:23" ht="12.75">
      <c r="B58" s="194">
        <v>270</v>
      </c>
      <c r="C58" s="66">
        <f t="shared" si="0"/>
        <v>128.25</v>
      </c>
      <c r="D58" s="67">
        <f t="shared" si="1"/>
        <v>19.750000000000004</v>
      </c>
      <c r="E58" s="66">
        <f t="shared" si="2"/>
        <v>-19.75</v>
      </c>
      <c r="F58" s="67">
        <f t="shared" si="3"/>
        <v>19.750000000000004</v>
      </c>
      <c r="G58" s="188"/>
      <c r="H58" s="64">
        <f>Wheelbase</f>
        <v>108.5</v>
      </c>
      <c r="I58" s="65">
        <f>VectorCalculations!C4</f>
        <v>36.85</v>
      </c>
      <c r="J58" s="173"/>
      <c r="K58" s="173"/>
      <c r="L58" s="66" t="s">
        <v>1</v>
      </c>
      <c r="M58" s="188" t="s">
        <v>0</v>
      </c>
      <c r="N58" s="67"/>
      <c r="Q58" s="173"/>
      <c r="R58" s="173"/>
      <c r="S58" s="173"/>
      <c r="T58" s="173"/>
      <c r="U58" s="173"/>
      <c r="V58" s="173"/>
      <c r="W58" s="173"/>
    </row>
    <row r="59" spans="2:23" ht="12.75">
      <c r="B59" s="194">
        <v>285</v>
      </c>
      <c r="C59" s="66">
        <f t="shared" si="0"/>
        <v>127.5770350692091</v>
      </c>
      <c r="D59" s="67">
        <f t="shared" si="1"/>
        <v>14.638323859225224</v>
      </c>
      <c r="E59" s="66">
        <f t="shared" si="2"/>
        <v>-19.077035069209103</v>
      </c>
      <c r="F59" s="67">
        <f t="shared" si="3"/>
        <v>14.638323859225224</v>
      </c>
      <c r="G59" s="188"/>
      <c r="H59" s="181" t="s">
        <v>79</v>
      </c>
      <c r="I59" s="182"/>
      <c r="J59" s="173"/>
      <c r="K59" s="173"/>
      <c r="L59" s="66">
        <f>L53</f>
        <v>47</v>
      </c>
      <c r="M59" s="188">
        <f>M53</f>
        <v>3</v>
      </c>
      <c r="N59" s="67">
        <f>(M59+$M$38)</f>
        <v>83</v>
      </c>
      <c r="Q59" s="173"/>
      <c r="R59" s="173"/>
      <c r="S59" s="173"/>
      <c r="T59" s="173"/>
      <c r="U59" s="173"/>
      <c r="V59" s="173"/>
      <c r="W59" s="173"/>
    </row>
    <row r="60" spans="2:23" ht="12.75">
      <c r="B60" s="194">
        <v>300</v>
      </c>
      <c r="C60" s="66">
        <f t="shared" si="0"/>
        <v>125.60400172474266</v>
      </c>
      <c r="D60" s="67">
        <f t="shared" si="1"/>
        <v>9.874999999999998</v>
      </c>
      <c r="E60" s="66">
        <f t="shared" si="2"/>
        <v>-17.104001724742663</v>
      </c>
      <c r="F60" s="67">
        <f t="shared" si="3"/>
        <v>9.874999999999998</v>
      </c>
      <c r="G60" s="215"/>
      <c r="H60" s="188" t="s">
        <v>1</v>
      </c>
      <c r="I60" s="67" t="s">
        <v>5</v>
      </c>
      <c r="J60" s="173"/>
      <c r="K60" s="173"/>
      <c r="L60" s="66">
        <f>IF(VectorCalculations!C25="Parallel",$K$38,VectorCalculations!C25)</f>
        <v>53.94736842105263</v>
      </c>
      <c r="M60" s="188">
        <f>IF(L60=K38,M59,VectorCalculations!D13)</f>
        <v>0</v>
      </c>
      <c r="N60" s="67">
        <f>(M60+$M$38)</f>
        <v>80</v>
      </c>
      <c r="Q60" s="173"/>
      <c r="R60" s="173"/>
      <c r="S60" s="173"/>
      <c r="T60" s="173"/>
      <c r="U60" s="173"/>
      <c r="V60" s="173"/>
      <c r="W60" s="173"/>
    </row>
    <row r="61" spans="2:23" ht="12.75">
      <c r="B61" s="194">
        <v>315</v>
      </c>
      <c r="C61" s="66">
        <f t="shared" si="0"/>
        <v>122.46535892843431</v>
      </c>
      <c r="D61" s="67">
        <f t="shared" si="1"/>
        <v>5.784641071565689</v>
      </c>
      <c r="E61" s="66">
        <f t="shared" si="2"/>
        <v>-13.965358928434316</v>
      </c>
      <c r="F61" s="67">
        <f t="shared" si="3"/>
        <v>5.784641071565689</v>
      </c>
      <c r="G61" s="215"/>
      <c r="H61" s="188">
        <f>IF(I14="Parallel",$K$38,I14)</f>
        <v>-5.818181818181813</v>
      </c>
      <c r="I61" s="67">
        <f>IF(VectorCalculations!E23="N/A",VectorCalculations!$C$32*H61+VectorCalculations!$C$33,IF(VectorCalculations!E13="N/A",('Travel (2)'!H61*VectorCalculations!C32)+VectorCalculations!C33,VectorCalculations!E13))</f>
        <v>27.272727272727273</v>
      </c>
      <c r="J61" s="173"/>
      <c r="K61" s="173"/>
      <c r="L61" s="66">
        <f>IF(VectorCalculations!C25="Parallel",$K$38,VectorCalculations!C25)</f>
        <v>53.94736842105263</v>
      </c>
      <c r="M61" s="188">
        <f>IF(L61=K38,M62,VectorCalculations!D13)</f>
        <v>0</v>
      </c>
      <c r="N61" s="67">
        <f>(M61+$M$38)</f>
        <v>80</v>
      </c>
      <c r="Q61" s="173"/>
      <c r="R61" s="173"/>
      <c r="S61" s="173"/>
      <c r="T61" s="173"/>
      <c r="U61" s="173"/>
      <c r="V61" s="173"/>
      <c r="W61" s="173"/>
    </row>
    <row r="62" spans="2:23" ht="12.75">
      <c r="B62" s="194">
        <v>330</v>
      </c>
      <c r="C62" s="66">
        <f t="shared" si="0"/>
        <v>118.37500000000001</v>
      </c>
      <c r="D62" s="67">
        <f t="shared" si="1"/>
        <v>2.645998275257341</v>
      </c>
      <c r="E62" s="66">
        <f t="shared" si="2"/>
        <v>-9.875000000000009</v>
      </c>
      <c r="F62" s="67">
        <f t="shared" si="3"/>
        <v>2.645998275257341</v>
      </c>
      <c r="G62" s="188"/>
      <c r="H62" s="66">
        <v>0</v>
      </c>
      <c r="I62" s="67">
        <f>I32</f>
        <v>27.470338643823553</v>
      </c>
      <c r="J62" s="173"/>
      <c r="K62" s="173"/>
      <c r="L62" s="64">
        <f>L59</f>
        <v>47</v>
      </c>
      <c r="M62" s="190">
        <f>-M59</f>
        <v>-3</v>
      </c>
      <c r="N62" s="65">
        <f>(M62+$M$38)</f>
        <v>77</v>
      </c>
      <c r="Q62" s="173"/>
      <c r="R62" s="173"/>
      <c r="S62" s="173"/>
      <c r="T62" s="173"/>
      <c r="U62" s="173"/>
      <c r="V62" s="173"/>
      <c r="W62" s="173"/>
    </row>
    <row r="63" spans="2:23" ht="12.75">
      <c r="B63" s="194">
        <v>345</v>
      </c>
      <c r="C63" s="66">
        <f t="shared" si="0"/>
        <v>113.61167614077479</v>
      </c>
      <c r="D63" s="67">
        <f t="shared" si="1"/>
        <v>0.6729649307909007</v>
      </c>
      <c r="E63" s="66">
        <f t="shared" si="2"/>
        <v>-5.111676140774784</v>
      </c>
      <c r="F63" s="67">
        <f t="shared" si="3"/>
        <v>0.6729649307909007</v>
      </c>
      <c r="G63" s="188"/>
      <c r="H63" s="64">
        <f>IF(I26="Parallel",$K$38,I26)</f>
        <v>53.94736842105263</v>
      </c>
      <c r="I63" s="65">
        <f>IF(K26="N/A",I41,K26)</f>
        <v>29.30263157894737</v>
      </c>
      <c r="J63" s="173"/>
      <c r="K63" s="173"/>
      <c r="L63" s="173"/>
      <c r="M63" s="173"/>
      <c r="N63" s="173"/>
      <c r="O63" s="173"/>
      <c r="Q63" s="173"/>
      <c r="R63" s="173"/>
      <c r="S63" s="173"/>
      <c r="T63" s="173"/>
      <c r="U63" s="173"/>
      <c r="V63" s="173"/>
      <c r="W63" s="173"/>
    </row>
    <row r="64" spans="2:23" ht="12.75">
      <c r="B64" s="195">
        <v>360</v>
      </c>
      <c r="C64" s="64">
        <f t="shared" si="0"/>
        <v>108.5</v>
      </c>
      <c r="D64" s="65">
        <f t="shared" si="1"/>
        <v>0</v>
      </c>
      <c r="E64" s="66">
        <f t="shared" si="2"/>
        <v>-4.839336396889049E-15</v>
      </c>
      <c r="F64" s="67">
        <f t="shared" si="3"/>
        <v>0</v>
      </c>
      <c r="G64" s="188"/>
      <c r="H64" s="173"/>
      <c r="I64" s="173"/>
      <c r="J64" s="173"/>
      <c r="K64" s="173"/>
      <c r="L64" s="173"/>
      <c r="M64" s="173"/>
      <c r="N64" s="173"/>
      <c r="O64" s="173"/>
      <c r="Q64" s="173"/>
      <c r="R64" s="173"/>
      <c r="S64" s="173"/>
      <c r="T64" s="173"/>
      <c r="U64" s="173"/>
      <c r="V64" s="173"/>
      <c r="W64" s="173"/>
    </row>
    <row r="65" spans="2:23" ht="12.75">
      <c r="B65" s="10"/>
      <c r="Q65" s="173"/>
      <c r="R65" s="173"/>
      <c r="S65" s="173"/>
      <c r="T65" s="173"/>
      <c r="U65" s="173"/>
      <c r="V65" s="173"/>
      <c r="W65" s="173"/>
    </row>
    <row r="66" spans="2:23" ht="12.75">
      <c r="B66" s="10"/>
      <c r="Q66" s="173"/>
      <c r="R66" s="173"/>
      <c r="S66" s="173"/>
      <c r="T66" s="173"/>
      <c r="U66" s="173"/>
      <c r="V66" s="173"/>
      <c r="W66" s="173"/>
    </row>
    <row r="67" spans="17:23" ht="12.75">
      <c r="Q67" s="173"/>
      <c r="R67" s="173"/>
      <c r="S67" s="173"/>
      <c r="T67" s="173"/>
      <c r="U67" s="173"/>
      <c r="V67" s="173"/>
      <c r="W67" s="173"/>
    </row>
    <row r="68" spans="3:23" ht="12.75">
      <c r="C68" s="10" t="s">
        <v>150</v>
      </c>
      <c r="D68" s="10" t="s">
        <v>151</v>
      </c>
      <c r="Q68" s="173"/>
      <c r="R68" s="173"/>
      <c r="S68" s="173"/>
      <c r="T68" s="173"/>
      <c r="U68" s="173"/>
      <c r="V68" s="173"/>
      <c r="W68" s="173"/>
    </row>
    <row r="69" spans="2:23" ht="12.75">
      <c r="B69" s="9" t="s">
        <v>146</v>
      </c>
      <c r="C69" s="217">
        <f>C21</f>
        <v>3</v>
      </c>
      <c r="D69" s="173">
        <f>E21</f>
        <v>19.75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2:23" ht="12.75">
      <c r="B70" s="9" t="s">
        <v>147</v>
      </c>
      <c r="C70" s="196">
        <f>C20</f>
        <v>47</v>
      </c>
      <c r="D70" s="173">
        <f>E20</f>
        <v>28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3" ht="12.75">
      <c r="B71" s="9" t="s">
        <v>148</v>
      </c>
      <c r="C71" s="196">
        <f>C7</f>
        <v>0</v>
      </c>
      <c r="D71" s="173">
        <f>E7</f>
        <v>28</v>
      </c>
      <c r="E71" s="173"/>
      <c r="F71" s="173"/>
      <c r="G71" s="173"/>
      <c r="H71" s="173" t="s">
        <v>161</v>
      </c>
      <c r="I71" s="173">
        <f>((C81-C84)^2+(D81-D84)^2)^0.5</f>
        <v>31.481145150708862</v>
      </c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2:23" ht="12.75">
      <c r="B72" s="9" t="s">
        <v>149</v>
      </c>
      <c r="C72" s="196">
        <f>C6</f>
        <v>32</v>
      </c>
      <c r="D72" s="173">
        <f>E6</f>
        <v>32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3:23" ht="12.75">
      <c r="C73" s="196">
        <v>-20</v>
      </c>
      <c r="D73" s="173">
        <v>90.67</v>
      </c>
      <c r="E73" s="173"/>
      <c r="F73" s="173"/>
      <c r="G73" s="173"/>
      <c r="H73" s="173" t="s">
        <v>162</v>
      </c>
      <c r="I73" s="173">
        <f>ACOS((C74^2+I71^2-C77^2)/(2*C74*I71))*180/PI()</f>
        <v>12.280211252310433</v>
      </c>
      <c r="J73" s="173"/>
      <c r="K73" s="173"/>
      <c r="L73" s="173" t="s">
        <v>176</v>
      </c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2:23" ht="12.75">
      <c r="B74" s="9" t="s">
        <v>152</v>
      </c>
      <c r="C74" s="196">
        <f>((C70-C69)^2+(D70-D69)^2)^0.5</f>
        <v>44.76675663927419</v>
      </c>
      <c r="D74" s="173"/>
      <c r="E74" s="173"/>
      <c r="F74" s="173"/>
      <c r="G74" s="173"/>
      <c r="H74" s="173" t="s">
        <v>163</v>
      </c>
      <c r="I74" s="173">
        <f>ACOS((C76^2+I71^2-C75^2)/(2*C76*I71))*180/PI()</f>
        <v>87.08323999343436</v>
      </c>
      <c r="J74" s="173"/>
      <c r="K74" s="173"/>
      <c r="L74" s="173">
        <f>C81</f>
        <v>3</v>
      </c>
      <c r="M74" s="173">
        <f>D81</f>
        <v>19.75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2:23" ht="12.75">
      <c r="B75" s="9" t="s">
        <v>153</v>
      </c>
      <c r="C75" s="196">
        <f>((C72-C71)^2+(D72-D71)^2)^0.5</f>
        <v>32.2490309931942</v>
      </c>
      <c r="D75" s="173"/>
      <c r="E75" s="173"/>
      <c r="F75" s="173"/>
      <c r="G75" s="173"/>
      <c r="H75" s="173" t="s">
        <v>164</v>
      </c>
      <c r="I75" s="173">
        <f>I73+I74</f>
        <v>99.3634512457448</v>
      </c>
      <c r="J75" s="173"/>
      <c r="K75" s="173"/>
      <c r="L75" s="173">
        <f>C83</f>
        <v>7.105427357601002E-15</v>
      </c>
      <c r="M75" s="173">
        <f>D83</f>
        <v>28.000000000000004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2:23" ht="12.75">
      <c r="B76" s="9" t="s">
        <v>154</v>
      </c>
      <c r="C76" s="196">
        <f>((C71-C69)^2+(D71-D69)^2)^0.5</f>
        <v>8.77852493303972</v>
      </c>
      <c r="D76" s="173"/>
      <c r="E76" s="173"/>
      <c r="F76" s="173"/>
      <c r="G76" s="173"/>
      <c r="H76" s="173"/>
      <c r="I76" s="173"/>
      <c r="J76" s="173"/>
      <c r="K76" s="173"/>
      <c r="L76" s="173">
        <v>-20</v>
      </c>
      <c r="M76" s="173">
        <f>FORECAST(L76,M74:M75,L74:L75)</f>
        <v>83.00000000000017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2:23" ht="12.75">
      <c r="B77" s="9" t="s">
        <v>155</v>
      </c>
      <c r="C77" s="196">
        <f>((C72-C70)^2+(D72-D70)^2)^0.5</f>
        <v>15.524174696260024</v>
      </c>
      <c r="D77" s="173"/>
      <c r="E77" s="173"/>
      <c r="F77" s="173"/>
      <c r="G77" s="173"/>
      <c r="H77" s="173" t="s">
        <v>165</v>
      </c>
      <c r="I77" s="173">
        <f>C82-C81</f>
        <v>44</v>
      </c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3:23" ht="12.75">
      <c r="C78" s="196"/>
      <c r="D78" s="173"/>
      <c r="E78" s="173"/>
      <c r="F78" s="173"/>
      <c r="G78" s="173"/>
      <c r="H78" s="173" t="s">
        <v>166</v>
      </c>
      <c r="I78" s="173">
        <f>D82-D81</f>
        <v>8.25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3:23" ht="12.75">
      <c r="C79" s="196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2:23" ht="12.75">
      <c r="B80" s="9" t="s">
        <v>156</v>
      </c>
      <c r="C80" s="196"/>
      <c r="D80" s="173"/>
      <c r="E80" s="173"/>
      <c r="F80" s="173"/>
      <c r="G80" s="173"/>
      <c r="H80" s="173" t="s">
        <v>167</v>
      </c>
      <c r="I80" s="173">
        <f>I77</f>
        <v>44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2:23" ht="12.75">
      <c r="B81" s="9" t="s">
        <v>157</v>
      </c>
      <c r="C81" s="217">
        <f>C70-((C74^2-(D81-D70)^2)^0.5)</f>
        <v>3</v>
      </c>
      <c r="D81" s="173">
        <f>D69+C3</f>
        <v>19.75</v>
      </c>
      <c r="E81" s="173"/>
      <c r="F81" s="173"/>
      <c r="G81" s="173"/>
      <c r="H81" s="173" t="s">
        <v>168</v>
      </c>
      <c r="I81" s="173">
        <v>0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2:23" ht="12.75">
      <c r="B82" s="9" t="s">
        <v>158</v>
      </c>
      <c r="C82" s="196">
        <f>C70</f>
        <v>47</v>
      </c>
      <c r="D82" s="173">
        <f>D70</f>
        <v>28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2:23" ht="12.75">
      <c r="B83" s="9" t="s">
        <v>159</v>
      </c>
      <c r="C83" s="173">
        <f>C81-(C76*COS(I85/(180/PI())))</f>
        <v>7.105427357601002E-15</v>
      </c>
      <c r="D83" s="173">
        <f>D81+(C76*SIN(I85/(180/PI())))</f>
        <v>28.000000000000004</v>
      </c>
      <c r="E83" s="173"/>
      <c r="F83" s="173"/>
      <c r="G83" s="173"/>
      <c r="H83" s="173" t="s">
        <v>169</v>
      </c>
      <c r="I83" s="173">
        <f>ASIN((D70-D81)/C74)*180/PI()</f>
        <v>10.619655276155134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2:23" ht="12.75">
      <c r="B84" s="9" t="s">
        <v>160</v>
      </c>
      <c r="C84" s="196">
        <f>C72</f>
        <v>32</v>
      </c>
      <c r="D84" s="173">
        <f>D72</f>
        <v>32</v>
      </c>
      <c r="E84" s="173"/>
      <c r="F84" s="173"/>
      <c r="G84" s="173"/>
      <c r="H84" s="173" t="s">
        <v>170</v>
      </c>
      <c r="I84" s="173">
        <f>I75+I83</f>
        <v>109.98310652189993</v>
      </c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3:23" ht="12.75">
      <c r="C85" s="196"/>
      <c r="D85" s="173"/>
      <c r="E85" s="173"/>
      <c r="F85" s="173"/>
      <c r="G85" s="173"/>
      <c r="H85" s="173" t="s">
        <v>171</v>
      </c>
      <c r="I85" s="173">
        <f>180-I84</f>
        <v>70.01689347810007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3:23" ht="12.75">
      <c r="C86" s="196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3:23" ht="12.75">
      <c r="C87" s="196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3:23" ht="12.75">
      <c r="C88" s="196"/>
      <c r="D88" s="173"/>
      <c r="E88" s="173"/>
      <c r="F88" s="173"/>
      <c r="G88" s="173"/>
      <c r="H88" s="173" t="s">
        <v>172</v>
      </c>
      <c r="I88" s="173">
        <f>ATAN((D71-D69)/(C69-C71))*180/PI()</f>
        <v>70.01689347810003</v>
      </c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3:23" ht="12.75">
      <c r="C89" s="196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3:23" ht="12.75">
      <c r="C90" s="196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3:23" ht="12.75">
      <c r="C91" s="196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3:23" ht="12.75">
      <c r="C92" s="196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3:23" ht="12.75">
      <c r="C93" s="196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3:23" ht="12.75">
      <c r="C94" s="196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3:23" ht="12.75">
      <c r="C95" s="196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3:23" ht="12.75">
      <c r="C96" s="196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3:23" ht="12.75">
      <c r="C97" s="196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3:23" ht="12.75">
      <c r="C98" s="196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3:23" ht="12.75">
      <c r="C99" s="196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3:23" ht="12.75">
      <c r="C100" s="196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3:23" ht="12.75">
      <c r="C101" s="196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3:23" ht="12.75">
      <c r="C102" s="196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3:23" ht="12.75">
      <c r="C103" s="196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3:23" ht="12.75">
      <c r="C104" s="196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3:23" ht="12.75">
      <c r="C105" s="196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3:23" ht="12.75">
      <c r="C106" s="196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3:23" ht="12.75">
      <c r="C107" s="196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3:23" ht="12.75">
      <c r="C108" s="196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3:23" ht="12.75">
      <c r="C109" s="196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3:23" ht="12.75">
      <c r="C110" s="196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3:23" ht="12.75">
      <c r="C111" s="196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3:23" ht="12.75">
      <c r="C112" s="196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3:23" ht="12.75">
      <c r="C113" s="196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3:23" ht="12.75">
      <c r="C114" s="196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3:23" ht="12.75">
      <c r="C115" s="196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3:23" ht="12.75">
      <c r="C116" s="196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3:23" ht="12.75">
      <c r="C117" s="196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3:23" ht="12.75">
      <c r="C118" s="196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3:23" ht="12.75">
      <c r="C119" s="196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3:23" ht="12.75">
      <c r="C120" s="196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3:23" ht="12.75">
      <c r="C121" s="196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3:23" ht="12.75">
      <c r="C122" s="196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3:23" ht="12.75">
      <c r="C123" s="196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3:23" ht="12.75">
      <c r="C124" s="196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  <row r="125" spans="3:23" ht="12.75">
      <c r="C125" s="196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</row>
    <row r="126" spans="3:23" ht="12.75">
      <c r="C126" s="196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</row>
    <row r="127" spans="3:23" ht="12.75">
      <c r="C127" s="196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</row>
    <row r="128" spans="3:23" ht="12.75">
      <c r="C128" s="196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</row>
    <row r="129" spans="3:23" ht="12.75">
      <c r="C129" s="196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</row>
    <row r="130" spans="3:23" ht="12.75">
      <c r="C130" s="196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</row>
    <row r="131" spans="3:23" ht="12.75">
      <c r="C131" s="196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</row>
    <row r="132" spans="3:23" ht="12.75">
      <c r="C132" s="196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</row>
    <row r="133" spans="3:23" ht="12.75">
      <c r="C133" s="196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</row>
    <row r="134" spans="3:23" ht="12.75">
      <c r="C134" s="196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3:23" ht="12.75">
      <c r="C135" s="196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3:23" ht="12.75">
      <c r="C136" s="196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3:23" ht="12.75">
      <c r="C137" s="196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</row>
    <row r="138" spans="3:23" ht="12.75">
      <c r="C138" s="196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</row>
    <row r="139" spans="3:23" ht="12.75">
      <c r="C139" s="196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3:23" ht="12.75">
      <c r="C140" s="196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</row>
    <row r="141" spans="3:23" ht="12.75">
      <c r="C141" s="196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</row>
    <row r="142" spans="3:23" ht="12.75">
      <c r="C142" s="196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</row>
    <row r="143" spans="3:23" ht="12.75">
      <c r="C143" s="196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</row>
    <row r="144" spans="3:23" ht="12.75">
      <c r="C144" s="196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9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7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8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8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9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70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70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1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15188.085361966621</v>
      </c>
      <c r="D15" s="24" t="s">
        <v>11</v>
      </c>
      <c r="E15" s="26"/>
      <c r="F15" s="30" t="s">
        <v>28</v>
      </c>
      <c r="G15" s="171">
        <f>(PI()^2*G9*G12)/(G17^2)</f>
        <v>42207.19273239691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1331.6767796000752</v>
      </c>
      <c r="D16" s="24" t="s">
        <v>11</v>
      </c>
      <c r="E16" s="26"/>
      <c r="F16" s="30" t="s">
        <v>26</v>
      </c>
      <c r="G16" s="171">
        <f>(G10*G12)/(0.125*G5*G17)</f>
        <v>3521.2447078173045</v>
      </c>
      <c r="H16" s="24" t="s">
        <v>11</v>
      </c>
      <c r="I16" s="26"/>
    </row>
    <row r="17" spans="2:9" ht="12.75">
      <c r="B17" s="30" t="s">
        <v>43</v>
      </c>
      <c r="C17" s="53">
        <f>U_Length</f>
        <v>34.07345007480164</v>
      </c>
      <c r="D17" s="8" t="s">
        <v>10</v>
      </c>
      <c r="E17" s="42"/>
      <c r="F17" s="30" t="s">
        <v>43</v>
      </c>
      <c r="G17" s="53">
        <f>L_Length</f>
        <v>48.631908249625575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2.6403266962301</v>
      </c>
      <c r="D18" s="15" t="s">
        <v>11</v>
      </c>
      <c r="E18" s="39"/>
      <c r="F18" s="30" t="s">
        <v>62</v>
      </c>
      <c r="G18" s="20">
        <f>(L_Length*G13*G11)</f>
        <v>16.271245265673652</v>
      </c>
      <c r="H18" s="15" t="s">
        <v>11</v>
      </c>
      <c r="I18" s="39"/>
    </row>
    <row r="19" spans="2:9" ht="12.75">
      <c r="B19" s="14" t="s">
        <v>17</v>
      </c>
      <c r="C19" s="63">
        <f>U_Force</f>
        <v>32118.098678463593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-44248.451916100326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1.206317791911261</v>
      </c>
      <c r="D20" s="10" t="s">
        <v>114</v>
      </c>
      <c r="E20" s="44"/>
      <c r="F20" s="14" t="s">
        <v>18</v>
      </c>
      <c r="G20" s="20">
        <f>ABS(G14/L_Force)</f>
        <v>2.928705781759245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0.4728824552790483</v>
      </c>
      <c r="D21" s="10" t="s">
        <v>115</v>
      </c>
      <c r="E21" s="44"/>
      <c r="F21" s="14" t="s">
        <v>19</v>
      </c>
      <c r="G21" s="20">
        <f>ABS(G15/L_Force)</f>
        <v>0.953868235038508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0.6341317998095596</v>
      </c>
      <c r="D22" s="10" t="s">
        <v>116</v>
      </c>
      <c r="E22" s="44"/>
      <c r="F22" s="14" t="s">
        <v>20</v>
      </c>
      <c r="G22" s="20">
        <f>ABS(G16/(Vehicle_Mass/2))</f>
        <v>1.6767831941987164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1.712430133259401</v>
      </c>
      <c r="D23" s="6" t="s">
        <v>117</v>
      </c>
      <c r="E23" s="45"/>
      <c r="F23" s="18" t="s">
        <v>22</v>
      </c>
      <c r="G23" s="20">
        <f>ABS(G8/L_Force)</f>
        <v>1.24298133874346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10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44">
        <v>29000000</v>
      </c>
      <c r="D31" s="144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44">
        <v>29700000</v>
      </c>
      <c r="D32" s="144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44">
        <v>29700000</v>
      </c>
      <c r="D33" s="144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44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44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5"/>
      <c r="C37" s="33"/>
      <c r="D37" s="32"/>
      <c r="E37" s="32"/>
      <c r="F37" s="32"/>
      <c r="G37" s="146"/>
    </row>
    <row r="38" spans="2:7" ht="12.75">
      <c r="B38" s="145"/>
      <c r="C38" s="33"/>
      <c r="D38" s="32"/>
      <c r="E38" s="32"/>
      <c r="F38" s="32"/>
      <c r="G38" s="146"/>
    </row>
    <row r="39" spans="2:7" ht="12.75">
      <c r="B39" s="145"/>
      <c r="C39" s="33"/>
      <c r="D39" s="32"/>
      <c r="E39" s="32"/>
      <c r="F39" s="32"/>
      <c r="G39" s="146"/>
    </row>
    <row r="40" spans="2:7" ht="12.75">
      <c r="B40" s="145"/>
      <c r="C40" s="33"/>
      <c r="D40" s="32"/>
      <c r="E40" s="32"/>
      <c r="F40" s="32"/>
      <c r="G40" s="146"/>
    </row>
    <row r="41" spans="2:7" ht="12.75">
      <c r="B41" s="145"/>
      <c r="C41" s="33"/>
      <c r="D41" s="32"/>
      <c r="E41" s="32"/>
      <c r="F41" s="32"/>
      <c r="G41" s="146"/>
    </row>
    <row r="42" spans="2:7" ht="12.75">
      <c r="B42" s="145"/>
      <c r="C42" s="33"/>
      <c r="D42" s="32"/>
      <c r="E42" s="32"/>
      <c r="F42" s="32"/>
      <c r="G42" s="146"/>
    </row>
    <row r="43" spans="2:7" ht="12.75">
      <c r="B43" s="145"/>
      <c r="C43" s="33"/>
      <c r="D43" s="32"/>
      <c r="E43" s="32"/>
      <c r="F43" s="32"/>
      <c r="G43" s="146"/>
    </row>
    <row r="44" spans="2:7" ht="12.75">
      <c r="B44" s="145"/>
      <c r="C44" s="33"/>
      <c r="D44" s="32"/>
      <c r="E44" s="32"/>
      <c r="F44" s="32"/>
      <c r="G44" s="146"/>
    </row>
    <row r="45" spans="2:7" ht="12.75">
      <c r="B45" s="145"/>
      <c r="C45" s="33"/>
      <c r="D45" s="32"/>
      <c r="E45" s="32"/>
      <c r="F45" s="32"/>
      <c r="G45" s="146"/>
    </row>
    <row r="46" spans="2:7" ht="12.75">
      <c r="B46" s="145"/>
      <c r="C46" s="33"/>
      <c r="D46" s="32"/>
      <c r="E46" s="32"/>
      <c r="F46" s="32"/>
      <c r="G46" s="146"/>
    </row>
    <row r="47" spans="2:7" ht="12.75">
      <c r="B47" s="145"/>
      <c r="C47" s="33"/>
      <c r="D47" s="32"/>
      <c r="E47" s="32"/>
      <c r="F47" s="32"/>
      <c r="G47" s="146"/>
    </row>
    <row r="48" spans="2:7" ht="12.75">
      <c r="B48" s="145"/>
      <c r="C48" s="33"/>
      <c r="D48" s="32"/>
      <c r="E48" s="32"/>
      <c r="F48" s="32"/>
      <c r="G48" s="146"/>
    </row>
    <row r="49" spans="2:7" ht="12.75">
      <c r="B49" s="145"/>
      <c r="C49" s="33"/>
      <c r="D49" s="32"/>
      <c r="E49" s="32"/>
      <c r="F49" s="32"/>
      <c r="G49" s="146"/>
    </row>
    <row r="50" spans="2:7" ht="12.75">
      <c r="B50" s="147"/>
      <c r="C50" s="148"/>
      <c r="D50" s="149"/>
      <c r="E50" s="149"/>
      <c r="F50" s="149"/>
      <c r="G50" s="150"/>
    </row>
    <row r="51" ht="12.75">
      <c r="B51" s="165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10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">
      <selection activeCell="V77" sqref="V77"/>
    </sheetView>
  </sheetViews>
  <sheetFormatPr defaultColWidth="9.140625" defaultRowHeight="12.75"/>
  <cols>
    <col min="1" max="1" width="1.421875" style="173" customWidth="1"/>
    <col min="2" max="2" width="5.7109375" style="196" customWidth="1"/>
    <col min="3" max="3" width="9.00390625" style="173" bestFit="1" customWidth="1"/>
    <col min="4" max="4" width="5.7109375" style="173" bestFit="1" customWidth="1"/>
    <col min="5" max="5" width="8.57421875" style="173" bestFit="1" customWidth="1"/>
    <col min="6" max="6" width="5.7109375" style="173" bestFit="1" customWidth="1"/>
    <col min="7" max="7" width="14.00390625" style="173" bestFit="1" customWidth="1"/>
    <col min="8" max="8" width="8.7109375" style="173" bestFit="1" customWidth="1"/>
    <col min="9" max="9" width="9.140625" style="173" bestFit="1" customWidth="1"/>
    <col min="10" max="10" width="10.00390625" style="173" bestFit="1" customWidth="1"/>
    <col min="11" max="11" width="3.57421875" style="173" customWidth="1"/>
    <col min="12" max="12" width="9.28125" style="173" customWidth="1"/>
    <col min="13" max="13" width="6.28125" style="173" bestFit="1" customWidth="1"/>
    <col min="14" max="14" width="6.7109375" style="173" bestFit="1" customWidth="1"/>
    <col min="15" max="15" width="11.421875" style="173" customWidth="1"/>
    <col min="16" max="16" width="17.421875" style="173" bestFit="1" customWidth="1"/>
    <col min="17" max="16384" width="11.421875" style="173" customWidth="1"/>
  </cols>
  <sheetData>
    <row r="1" ht="20.25">
      <c r="B1" s="191" t="str">
        <f>Main!B1</f>
        <v>4 Bar Linkage Calculator v3.0</v>
      </c>
    </row>
    <row r="2" spans="2:24" s="178" customFormat="1" ht="15">
      <c r="B2" s="192" t="s">
        <v>77</v>
      </c>
      <c r="C2" s="175"/>
      <c r="D2" s="175"/>
      <c r="E2" s="175"/>
      <c r="F2" s="175"/>
      <c r="G2" s="175"/>
      <c r="H2" s="175"/>
      <c r="I2" s="175"/>
      <c r="J2" s="176"/>
      <c r="K2" s="177"/>
      <c r="L2" s="174" t="s">
        <v>78</v>
      </c>
      <c r="M2" s="175"/>
      <c r="N2" s="176"/>
      <c r="P2" s="17" t="s">
        <v>129</v>
      </c>
      <c r="X2" s="180"/>
    </row>
    <row r="3" spans="2:16" ht="12.75">
      <c r="B3" s="193"/>
      <c r="C3" s="181" t="s">
        <v>71</v>
      </c>
      <c r="D3" s="182"/>
      <c r="E3" s="181" t="s">
        <v>72</v>
      </c>
      <c r="F3" s="182"/>
      <c r="G3" s="181" t="s">
        <v>74</v>
      </c>
      <c r="H3" s="182"/>
      <c r="I3" s="173" t="s">
        <v>124</v>
      </c>
      <c r="J3" s="206">
        <f>Wheelbase*20</f>
        <v>2170</v>
      </c>
      <c r="K3" s="183"/>
      <c r="L3" s="184" t="s">
        <v>84</v>
      </c>
      <c r="M3" s="185">
        <v>80</v>
      </c>
      <c r="N3" s="186"/>
      <c r="P3" s="179" t="s">
        <v>41</v>
      </c>
    </row>
    <row r="4" spans="2:16" ht="12.75">
      <c r="B4" s="194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1" t="s">
        <v>102</v>
      </c>
      <c r="J4" s="187">
        <v>4</v>
      </c>
      <c r="K4" s="188"/>
      <c r="L4" s="181" t="s">
        <v>4</v>
      </c>
      <c r="M4" s="189"/>
      <c r="N4" s="182"/>
      <c r="P4" s="179" t="s">
        <v>66</v>
      </c>
    </row>
    <row r="5" spans="2:16" ht="12.75">
      <c r="B5" s="194">
        <v>0</v>
      </c>
      <c r="C5" s="66">
        <f aca="true" t="shared" si="0" ref="C5:C29">(Wheelbase-(SIN(RADIANS(B5)))*(Tire_Diameter/2))</f>
        <v>108.5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32</v>
      </c>
      <c r="H5" s="67">
        <f>UF_Z</f>
        <v>32</v>
      </c>
      <c r="I5" s="66" t="s">
        <v>1</v>
      </c>
      <c r="J5" s="67" t="s">
        <v>5</v>
      </c>
      <c r="K5" s="188"/>
      <c r="L5" s="66" t="s">
        <v>1</v>
      </c>
      <c r="M5" s="188" t="s">
        <v>0</v>
      </c>
      <c r="N5" s="67" t="s">
        <v>85</v>
      </c>
      <c r="P5" s="210" t="s">
        <v>143</v>
      </c>
    </row>
    <row r="6" spans="2:16" ht="12.75">
      <c r="B6" s="194">
        <v>15</v>
      </c>
      <c r="C6" s="66">
        <f t="shared" si="0"/>
        <v>103.38832385922521</v>
      </c>
      <c r="D6" s="67">
        <f t="shared" si="1"/>
        <v>0.6729649307909007</v>
      </c>
      <c r="E6" s="66">
        <f t="shared" si="2"/>
        <v>5.111676140774785</v>
      </c>
      <c r="F6" s="67">
        <f t="shared" si="3"/>
        <v>0.6729649307909007</v>
      </c>
      <c r="G6" s="64">
        <f>IF(ABS(IC_X)&gt;J3,$J$3,IC_X)</f>
        <v>141</v>
      </c>
      <c r="H6" s="65">
        <f>IF(G6=J3,G6*VectorCalculations!C17+UA_Z,IC_Z)</f>
        <v>45.625</v>
      </c>
      <c r="I6" s="66">
        <f>SIN(RADIANS(B5))*$J$4/2</f>
        <v>0</v>
      </c>
      <c r="J6" s="67">
        <f>(COS(RADIANS(B5))*$J$4/2)+Tire_Rolling_Radius</f>
        <v>21.75</v>
      </c>
      <c r="K6" s="188"/>
      <c r="L6" s="66">
        <f>UF_X</f>
        <v>32</v>
      </c>
      <c r="M6" s="188">
        <f>UF_Y</f>
        <v>13</v>
      </c>
      <c r="N6" s="67">
        <f>(M6+$M$3)</f>
        <v>93</v>
      </c>
      <c r="P6" s="188"/>
    </row>
    <row r="7" spans="2:16" ht="12.75">
      <c r="B7" s="194">
        <v>30</v>
      </c>
      <c r="C7" s="66">
        <f t="shared" si="0"/>
        <v>98.625</v>
      </c>
      <c r="D7" s="67">
        <f t="shared" si="1"/>
        <v>2.645998275257334</v>
      </c>
      <c r="E7" s="66">
        <f t="shared" si="2"/>
        <v>9.874999999999998</v>
      </c>
      <c r="F7" s="67">
        <f t="shared" si="3"/>
        <v>2.645998275257334</v>
      </c>
      <c r="G7" s="181" t="s">
        <v>73</v>
      </c>
      <c r="H7" s="182"/>
      <c r="I7" s="66">
        <f>SIN(RADIANS(B7))*$J$4/2</f>
        <v>0.9999999999999999</v>
      </c>
      <c r="J7" s="67">
        <f>(COS(RADIANS(B7))*$J$4/2)+Tire_Rolling_Radius</f>
        <v>21.48205080756888</v>
      </c>
      <c r="K7" s="188"/>
      <c r="L7" s="66">
        <f>UA_X</f>
        <v>0</v>
      </c>
      <c r="M7" s="188">
        <f>UA_Y</f>
        <v>2</v>
      </c>
      <c r="N7" s="67">
        <f>(M7+$M$3)</f>
        <v>82</v>
      </c>
      <c r="P7" s="188"/>
    </row>
    <row r="8" spans="2:16" ht="12.75">
      <c r="B8" s="194">
        <v>45</v>
      </c>
      <c r="C8" s="66">
        <f t="shared" si="0"/>
        <v>94.53464107156569</v>
      </c>
      <c r="D8" s="67">
        <f t="shared" si="1"/>
        <v>5.7846410715656855</v>
      </c>
      <c r="E8" s="66">
        <f t="shared" si="2"/>
        <v>13.965358928434313</v>
      </c>
      <c r="F8" s="67">
        <f t="shared" si="3"/>
        <v>5.7846410715656855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20.75</v>
      </c>
      <c r="K8" s="188"/>
      <c r="L8" s="66">
        <f>UF_X</f>
        <v>32</v>
      </c>
      <c r="M8" s="188">
        <f>(-M6)</f>
        <v>-13</v>
      </c>
      <c r="N8" s="67">
        <f>(M8+$M$3)</f>
        <v>67</v>
      </c>
      <c r="P8" s="183"/>
    </row>
    <row r="9" spans="2:16" ht="12.75">
      <c r="B9" s="194">
        <v>60</v>
      </c>
      <c r="C9" s="66">
        <f t="shared" si="0"/>
        <v>91.39599827525734</v>
      </c>
      <c r="D9" s="67">
        <f t="shared" si="1"/>
        <v>9.874999999999998</v>
      </c>
      <c r="E9" s="66">
        <f t="shared" si="2"/>
        <v>17.104001724742663</v>
      </c>
      <c r="F9" s="67">
        <f t="shared" si="3"/>
        <v>9.874999999999998</v>
      </c>
      <c r="G9" s="66">
        <f>LF_X</f>
        <v>47</v>
      </c>
      <c r="H9" s="67">
        <f>LF_Z</f>
        <v>28</v>
      </c>
      <c r="I9" s="66">
        <f>SIN(RADIANS(B11))*$J$4/2</f>
        <v>2</v>
      </c>
      <c r="J9" s="67">
        <f>(COS(RADIANS(B11))*$J$4/2)+Tire_Rolling_Radius</f>
        <v>19.75</v>
      </c>
      <c r="K9" s="188"/>
      <c r="L9" s="64">
        <f>UA_X</f>
        <v>0</v>
      </c>
      <c r="M9" s="190">
        <f>(-M7)</f>
        <v>-2</v>
      </c>
      <c r="N9" s="65">
        <f>(M9+$M$3)</f>
        <v>78</v>
      </c>
      <c r="P9" s="188"/>
    </row>
    <row r="10" spans="2:14" ht="12.75">
      <c r="B10" s="194">
        <v>75</v>
      </c>
      <c r="C10" s="66">
        <f t="shared" si="0"/>
        <v>89.4229649307909</v>
      </c>
      <c r="D10" s="67">
        <f t="shared" si="1"/>
        <v>14.638323859225215</v>
      </c>
      <c r="E10" s="66">
        <f t="shared" si="2"/>
        <v>19.0770350692091</v>
      </c>
      <c r="F10" s="67">
        <f t="shared" si="3"/>
        <v>14.638323859225215</v>
      </c>
      <c r="G10" s="64">
        <f>IF(ABS(IC_X)&gt;J3,$J$3,IC_X)</f>
        <v>141</v>
      </c>
      <c r="H10" s="65">
        <f>IF(G10=J3,G10*VectorCalculations!C29+LA_Z,IC_Z)</f>
        <v>45.625</v>
      </c>
      <c r="I10" s="66">
        <f>SIN(RADIANS(B13))*$J$4/2</f>
        <v>1.7320508075688774</v>
      </c>
      <c r="J10" s="67">
        <f>(COS(RADIANS(B13))*$J$4/2)+Tire_Rolling_Radius</f>
        <v>18.75</v>
      </c>
      <c r="K10" s="188"/>
      <c r="L10" s="181" t="s">
        <v>74</v>
      </c>
      <c r="M10" s="189"/>
      <c r="N10" s="182"/>
    </row>
    <row r="11" spans="2:14" ht="12.75">
      <c r="B11" s="194">
        <v>90</v>
      </c>
      <c r="C11" s="66">
        <f t="shared" si="0"/>
        <v>88.75</v>
      </c>
      <c r="D11" s="67">
        <f t="shared" si="1"/>
        <v>19.75</v>
      </c>
      <c r="E11" s="66">
        <f t="shared" si="2"/>
        <v>19.75</v>
      </c>
      <c r="F11" s="67">
        <f t="shared" si="3"/>
        <v>19.75</v>
      </c>
      <c r="G11" s="181" t="s">
        <v>75</v>
      </c>
      <c r="H11" s="182"/>
      <c r="I11" s="66">
        <f>SIN(RADIANS(B15))*$J$4/2</f>
        <v>0.9999999999999999</v>
      </c>
      <c r="J11" s="67">
        <f>(COS(RADIANS(B15))*$J$4/2)+Tire_Rolling_Radius</f>
        <v>18.01794919243112</v>
      </c>
      <c r="K11" s="188"/>
      <c r="L11" s="66" t="s">
        <v>1</v>
      </c>
      <c r="M11" s="188" t="s">
        <v>0</v>
      </c>
      <c r="N11" s="67"/>
    </row>
    <row r="12" spans="2:14" ht="12.75">
      <c r="B12" s="194">
        <v>105</v>
      </c>
      <c r="C12" s="66">
        <f t="shared" si="0"/>
        <v>89.4229649307909</v>
      </c>
      <c r="D12" s="67">
        <f t="shared" si="1"/>
        <v>24.861676140774787</v>
      </c>
      <c r="E12" s="66">
        <f t="shared" si="2"/>
        <v>19.0770350692091</v>
      </c>
      <c r="F12" s="67">
        <f t="shared" si="3"/>
        <v>24.861676140774787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17.75</v>
      </c>
      <c r="K12" s="188"/>
      <c r="L12" s="66">
        <f>L7</f>
        <v>0</v>
      </c>
      <c r="M12" s="188">
        <f>M7</f>
        <v>2</v>
      </c>
      <c r="N12" s="67">
        <f>(M12+$M$3)</f>
        <v>82</v>
      </c>
    </row>
    <row r="13" spans="2:14" ht="12.75">
      <c r="B13" s="194">
        <v>120</v>
      </c>
      <c r="C13" s="66">
        <f t="shared" si="0"/>
        <v>91.39599827525734</v>
      </c>
      <c r="D13" s="67">
        <f t="shared" si="1"/>
        <v>29.624999999999996</v>
      </c>
      <c r="E13" s="66">
        <f t="shared" si="2"/>
        <v>17.104001724742666</v>
      </c>
      <c r="F13" s="67">
        <f t="shared" si="3"/>
        <v>29.624999999999996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18.01794919243112</v>
      </c>
      <c r="K13" s="188"/>
      <c r="L13" s="66">
        <f>IF(VectorCalculations!C13="Parallel",$J$3,VectorCalculations!C13)</f>
        <v>-5.81818181818182</v>
      </c>
      <c r="M13" s="188">
        <f>IF(L13=J3,M12,VectorCalculations!D13)</f>
        <v>0</v>
      </c>
      <c r="N13" s="67">
        <f>(M13+$M$3)</f>
        <v>80</v>
      </c>
    </row>
    <row r="14" spans="2:14" ht="12.75">
      <c r="B14" s="194">
        <v>135</v>
      </c>
      <c r="C14" s="66">
        <f t="shared" si="0"/>
        <v>94.53464107156569</v>
      </c>
      <c r="D14" s="67">
        <f t="shared" si="1"/>
        <v>33.71535892843431</v>
      </c>
      <c r="E14" s="66">
        <f t="shared" si="2"/>
        <v>13.965358928434314</v>
      </c>
      <c r="F14" s="67">
        <f t="shared" si="3"/>
        <v>33.71535892843431</v>
      </c>
      <c r="G14" s="66">
        <f>IF(ABS(IC_X)&gt;J3,$J$3,IC_X)</f>
        <v>141</v>
      </c>
      <c r="H14" s="67">
        <f>IF(G14=J3,G14*VectorCalculations!C29+UA_Z,IC_Z)</f>
        <v>45.625</v>
      </c>
      <c r="I14" s="66">
        <f>SIN(RADIANS(B21))*$J$4/2</f>
        <v>-1.7320508075688767</v>
      </c>
      <c r="J14" s="67">
        <f>(COS(RADIANS(B21))*$J$4/2)+Tire_Rolling_Radius</f>
        <v>18.75</v>
      </c>
      <c r="K14" s="188"/>
      <c r="L14" s="66">
        <f>IF(VectorCalculations!C13="Parallel",$J$3,VectorCalculations!C13)</f>
        <v>-5.81818181818182</v>
      </c>
      <c r="M14" s="188">
        <f>IF(L14=J3,M15,VectorCalculations!D13)</f>
        <v>0</v>
      </c>
      <c r="N14" s="67">
        <f>(M14+$M$3)</f>
        <v>80</v>
      </c>
    </row>
    <row r="15" spans="2:14" ht="12.75">
      <c r="B15" s="194">
        <v>150</v>
      </c>
      <c r="C15" s="66">
        <f t="shared" si="0"/>
        <v>98.625</v>
      </c>
      <c r="D15" s="67">
        <f t="shared" si="1"/>
        <v>36.854001724742666</v>
      </c>
      <c r="E15" s="66">
        <f t="shared" si="2"/>
        <v>9.874999999999998</v>
      </c>
      <c r="F15" s="67">
        <f t="shared" si="3"/>
        <v>36.854001724742666</v>
      </c>
      <c r="G15" s="64">
        <f>Wheelbase</f>
        <v>108.5</v>
      </c>
      <c r="H15" s="65">
        <f>FORECAST(G15,H13:H14,G13:G14)</f>
        <v>35.10859929078014</v>
      </c>
      <c r="I15" s="66">
        <f>SIN(RADIANS(B23))*$J$4/2</f>
        <v>-2</v>
      </c>
      <c r="J15" s="67">
        <f>(COS(RADIANS(B23))*$J$4/2)+Tire_Rolling_Radius</f>
        <v>19.75</v>
      </c>
      <c r="K15" s="188"/>
      <c r="L15" s="64">
        <f>L12</f>
        <v>0</v>
      </c>
      <c r="M15" s="190">
        <f>-M12</f>
        <v>-2</v>
      </c>
      <c r="N15" s="65">
        <f>(M15+$M$3)</f>
        <v>78</v>
      </c>
    </row>
    <row r="16" spans="2:14" ht="12.75">
      <c r="B16" s="194">
        <v>165</v>
      </c>
      <c r="C16" s="66">
        <f t="shared" si="0"/>
        <v>103.38832385922521</v>
      </c>
      <c r="D16" s="67">
        <f t="shared" si="1"/>
        <v>38.827035069209096</v>
      </c>
      <c r="E16" s="66">
        <f t="shared" si="2"/>
        <v>5.11167614077479</v>
      </c>
      <c r="F16" s="67">
        <f t="shared" si="3"/>
        <v>38.827035069209096</v>
      </c>
      <c r="G16" s="181" t="s">
        <v>127</v>
      </c>
      <c r="H16" s="182"/>
      <c r="I16" s="66">
        <f>SIN(RADIANS(B25))*$J$4/2</f>
        <v>-1.7320508075688772</v>
      </c>
      <c r="J16" s="67">
        <f>(COS(RADIANS(B25))*$J$4/2)+Tire_Rolling_Radius</f>
        <v>20.75</v>
      </c>
      <c r="K16" s="188"/>
      <c r="L16" s="181" t="s">
        <v>6</v>
      </c>
      <c r="M16" s="189"/>
      <c r="N16" s="182"/>
    </row>
    <row r="17" spans="2:14" ht="12.75">
      <c r="B17" s="194">
        <v>180</v>
      </c>
      <c r="C17" s="66">
        <f t="shared" si="0"/>
        <v>108.5</v>
      </c>
      <c r="D17" s="67">
        <f t="shared" si="1"/>
        <v>39.5</v>
      </c>
      <c r="E17" s="66">
        <f t="shared" si="2"/>
        <v>2.4196681984445245E-15</v>
      </c>
      <c r="F17" s="67">
        <f t="shared" si="3"/>
        <v>39.5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21.482050807568875</v>
      </c>
      <c r="K17" s="188"/>
      <c r="L17" s="66" t="s">
        <v>1</v>
      </c>
      <c r="M17" s="188" t="s">
        <v>0</v>
      </c>
      <c r="N17" s="67"/>
    </row>
    <row r="18" spans="2:14" ht="12.75">
      <c r="B18" s="194">
        <v>195</v>
      </c>
      <c r="C18" s="66">
        <f t="shared" si="0"/>
        <v>113.61167614077479</v>
      </c>
      <c r="D18" s="67">
        <f t="shared" si="1"/>
        <v>38.8270350692091</v>
      </c>
      <c r="E18" s="66">
        <f t="shared" si="2"/>
        <v>-5.111676140774786</v>
      </c>
      <c r="F18" s="67">
        <f t="shared" si="3"/>
        <v>38.8270350692091</v>
      </c>
      <c r="G18" s="66">
        <v>-20</v>
      </c>
      <c r="H18" s="67">
        <f>VectorCalculations!C4</f>
        <v>36.85</v>
      </c>
      <c r="I18" s="64">
        <f>SIN(RADIANS(B29))*$J$4/2</f>
        <v>-4.90059381963448E-16</v>
      </c>
      <c r="J18" s="65">
        <f>(COS(RADIANS(B29))*$J$4/2)+Tire_Rolling_Radius</f>
        <v>21.75</v>
      </c>
      <c r="L18" s="66">
        <f>LF_X</f>
        <v>47</v>
      </c>
      <c r="M18" s="188">
        <f>LF_Y</f>
        <v>3</v>
      </c>
      <c r="N18" s="67">
        <f>(M18+$M$3)</f>
        <v>83</v>
      </c>
    </row>
    <row r="19" spans="2:14" ht="12.75">
      <c r="B19" s="194">
        <v>210</v>
      </c>
      <c r="C19" s="66">
        <f t="shared" si="0"/>
        <v>118.375</v>
      </c>
      <c r="D19" s="67">
        <f t="shared" si="1"/>
        <v>36.85400172474266</v>
      </c>
      <c r="E19" s="66">
        <f t="shared" si="2"/>
        <v>-9.875000000000002</v>
      </c>
      <c r="F19" s="67">
        <f t="shared" si="3"/>
        <v>36.85400172474266</v>
      </c>
      <c r="G19" s="64">
        <v>120</v>
      </c>
      <c r="H19" s="65">
        <f>VectorCalculations!C4</f>
        <v>36.85</v>
      </c>
      <c r="L19" s="66">
        <f>LA_X</f>
        <v>3</v>
      </c>
      <c r="M19" s="188">
        <f>LA_Y</f>
        <v>22</v>
      </c>
      <c r="N19" s="67">
        <f>(M19+$M$3)</f>
        <v>102</v>
      </c>
    </row>
    <row r="20" spans="2:14" ht="12.75">
      <c r="B20" s="194">
        <v>225</v>
      </c>
      <c r="C20" s="66">
        <f t="shared" si="0"/>
        <v>122.46535892843431</v>
      </c>
      <c r="D20" s="67">
        <f t="shared" si="1"/>
        <v>33.71535892843431</v>
      </c>
      <c r="E20" s="66">
        <f t="shared" si="2"/>
        <v>-13.965358928434313</v>
      </c>
      <c r="F20" s="67">
        <f t="shared" si="3"/>
        <v>33.71535892843431</v>
      </c>
      <c r="G20" s="181" t="s">
        <v>76</v>
      </c>
      <c r="H20" s="182"/>
      <c r="L20" s="66">
        <f>(L18)</f>
        <v>47</v>
      </c>
      <c r="M20" s="188">
        <f>(-M18)</f>
        <v>-3</v>
      </c>
      <c r="N20" s="67">
        <f>(M20+$M$3)</f>
        <v>77</v>
      </c>
    </row>
    <row r="21" spans="2:14" ht="12.75">
      <c r="B21" s="194">
        <v>240</v>
      </c>
      <c r="C21" s="66">
        <f t="shared" si="0"/>
        <v>125.60400172474266</v>
      </c>
      <c r="D21" s="67">
        <f t="shared" si="1"/>
        <v>29.625000000000007</v>
      </c>
      <c r="E21" s="66">
        <f t="shared" si="2"/>
        <v>-17.10400172474266</v>
      </c>
      <c r="F21" s="67">
        <f t="shared" si="3"/>
        <v>29.625000000000007</v>
      </c>
      <c r="G21" s="66" t="s">
        <v>1</v>
      </c>
      <c r="H21" s="67" t="s">
        <v>5</v>
      </c>
      <c r="L21" s="64">
        <f>L19</f>
        <v>3</v>
      </c>
      <c r="M21" s="190">
        <f>(-M19)</f>
        <v>-22</v>
      </c>
      <c r="N21" s="65">
        <f>(M21+$M$3)</f>
        <v>58</v>
      </c>
    </row>
    <row r="22" spans="2:14" ht="12.75">
      <c r="B22" s="194">
        <v>255</v>
      </c>
      <c r="C22" s="66">
        <f t="shared" si="0"/>
        <v>127.5770350692091</v>
      </c>
      <c r="D22" s="67">
        <f t="shared" si="1"/>
        <v>24.861676140774783</v>
      </c>
      <c r="E22" s="66">
        <f t="shared" si="2"/>
        <v>-19.0770350692091</v>
      </c>
      <c r="F22" s="67">
        <f t="shared" si="3"/>
        <v>24.861676140774783</v>
      </c>
      <c r="G22" s="66">
        <v>0</v>
      </c>
      <c r="H22" s="67">
        <v>0</v>
      </c>
      <c r="L22" s="181" t="s">
        <v>73</v>
      </c>
      <c r="M22" s="189"/>
      <c r="N22" s="182"/>
    </row>
    <row r="23" spans="2:14" ht="12.75">
      <c r="B23" s="194">
        <v>270</v>
      </c>
      <c r="C23" s="66">
        <f t="shared" si="0"/>
        <v>128.25</v>
      </c>
      <c r="D23" s="67">
        <f t="shared" si="1"/>
        <v>19.750000000000004</v>
      </c>
      <c r="E23" s="66">
        <f t="shared" si="2"/>
        <v>-19.75</v>
      </c>
      <c r="F23" s="67">
        <f t="shared" si="3"/>
        <v>19.750000000000004</v>
      </c>
      <c r="G23" s="64">
        <f>Wheelbase</f>
        <v>108.5</v>
      </c>
      <c r="H23" s="65">
        <f>VectorCalculations!C4</f>
        <v>36.85</v>
      </c>
      <c r="L23" s="66" t="s">
        <v>1</v>
      </c>
      <c r="M23" s="188" t="s">
        <v>0</v>
      </c>
      <c r="N23" s="67"/>
    </row>
    <row r="24" spans="2:14" ht="12.75">
      <c r="B24" s="194">
        <v>285</v>
      </c>
      <c r="C24" s="66">
        <f t="shared" si="0"/>
        <v>127.5770350692091</v>
      </c>
      <c r="D24" s="67">
        <f t="shared" si="1"/>
        <v>14.638323859225224</v>
      </c>
      <c r="E24" s="66">
        <f t="shared" si="2"/>
        <v>-19.077035069209103</v>
      </c>
      <c r="F24" s="67">
        <f t="shared" si="3"/>
        <v>14.638323859225224</v>
      </c>
      <c r="G24" s="181" t="s">
        <v>79</v>
      </c>
      <c r="H24" s="182"/>
      <c r="L24" s="66">
        <f>L18</f>
        <v>47</v>
      </c>
      <c r="M24" s="188">
        <f>M18</f>
        <v>3</v>
      </c>
      <c r="N24" s="67">
        <f>(M24+$M$3)</f>
        <v>83</v>
      </c>
    </row>
    <row r="25" spans="2:14" ht="12.75">
      <c r="B25" s="194">
        <v>300</v>
      </c>
      <c r="C25" s="66">
        <f t="shared" si="0"/>
        <v>125.60400172474266</v>
      </c>
      <c r="D25" s="67">
        <f t="shared" si="1"/>
        <v>9.874999999999998</v>
      </c>
      <c r="E25" s="66">
        <f t="shared" si="2"/>
        <v>-17.104001724742663</v>
      </c>
      <c r="F25" s="67">
        <f t="shared" si="3"/>
        <v>9.874999999999998</v>
      </c>
      <c r="G25" s="66" t="s">
        <v>1</v>
      </c>
      <c r="H25" s="67" t="s">
        <v>5</v>
      </c>
      <c r="L25" s="66">
        <f>IF(VectorCalculations!C25="Parallel",$J$3,VectorCalculations!C25)</f>
        <v>53.94736842105263</v>
      </c>
      <c r="M25" s="188">
        <f>IF(L25=J3,M24,VectorCalculations!D13)</f>
        <v>0</v>
      </c>
      <c r="N25" s="67">
        <f>(M25+$M$3)</f>
        <v>80</v>
      </c>
    </row>
    <row r="26" spans="2:14" ht="12.75">
      <c r="B26" s="194">
        <v>315</v>
      </c>
      <c r="C26" s="66">
        <f t="shared" si="0"/>
        <v>122.46535892843431</v>
      </c>
      <c r="D26" s="67">
        <f t="shared" si="1"/>
        <v>5.784641071565689</v>
      </c>
      <c r="E26" s="66">
        <f t="shared" si="2"/>
        <v>-13.965358928434316</v>
      </c>
      <c r="F26" s="67">
        <f t="shared" si="3"/>
        <v>5.784641071565689</v>
      </c>
      <c r="G26" s="188">
        <f>IF(VectorCalculations!C13="Parallel",$J$3,VectorCalculations!C13)</f>
        <v>-5.81818181818182</v>
      </c>
      <c r="H26" s="67">
        <f>IF(VectorCalculations!E23="N/A",VectorCalculations!$C$32*G26+VectorCalculations!$C$33,IF(VectorCalculations!E13="N/A",(Plot!G26*VectorCalculations!C32)+VectorCalculations!C33,VectorCalculations!E13))</f>
        <v>27.272727272727273</v>
      </c>
      <c r="L26" s="66">
        <f>IF(VectorCalculations!C25="Parallel",$J$3,VectorCalculations!C25)</f>
        <v>53.94736842105263</v>
      </c>
      <c r="M26" s="188">
        <f>IF(L26=J3,M27,VectorCalculations!D13)</f>
        <v>0</v>
      </c>
      <c r="N26" s="67">
        <f>(M26+$M$3)</f>
        <v>80</v>
      </c>
    </row>
    <row r="27" spans="2:14" ht="12.75">
      <c r="B27" s="194">
        <v>330</v>
      </c>
      <c r="C27" s="66">
        <f t="shared" si="0"/>
        <v>118.37500000000001</v>
      </c>
      <c r="D27" s="67">
        <f t="shared" si="1"/>
        <v>2.645998275257341</v>
      </c>
      <c r="E27" s="66">
        <f t="shared" si="2"/>
        <v>-9.875000000000009</v>
      </c>
      <c r="F27" s="67">
        <f t="shared" si="3"/>
        <v>2.645998275257341</v>
      </c>
      <c r="G27" s="66">
        <v>0</v>
      </c>
      <c r="H27" s="67">
        <f>VectorCalculations!C33</f>
        <v>27.470338643823553</v>
      </c>
      <c r="L27" s="64">
        <f>L24</f>
        <v>47</v>
      </c>
      <c r="M27" s="190">
        <f>-M24</f>
        <v>-3</v>
      </c>
      <c r="N27" s="65">
        <f>(M27+$M$3)</f>
        <v>77</v>
      </c>
    </row>
    <row r="28" spans="2:8" ht="12.75">
      <c r="B28" s="194">
        <v>345</v>
      </c>
      <c r="C28" s="66">
        <f t="shared" si="0"/>
        <v>113.61167614077479</v>
      </c>
      <c r="D28" s="67">
        <f t="shared" si="1"/>
        <v>0.6729649307909007</v>
      </c>
      <c r="E28" s="66">
        <f t="shared" si="2"/>
        <v>-5.111676140774784</v>
      </c>
      <c r="F28" s="67">
        <f t="shared" si="3"/>
        <v>0.6729649307909007</v>
      </c>
      <c r="G28" s="64">
        <f>IF(VectorCalculations!C25="Parallel",$J$3,VectorCalculations!C25)</f>
        <v>53.94736842105263</v>
      </c>
      <c r="H28" s="65">
        <f>IF(VectorCalculations!E25="N/A",H6,VectorCalculations!E25)</f>
        <v>29.30263157894737</v>
      </c>
    </row>
    <row r="29" spans="2:6" ht="12.75">
      <c r="B29" s="195">
        <v>360</v>
      </c>
      <c r="C29" s="64">
        <f t="shared" si="0"/>
        <v>108.5</v>
      </c>
      <c r="D29" s="65">
        <f t="shared" si="1"/>
        <v>0</v>
      </c>
      <c r="E29" s="64">
        <f t="shared" si="2"/>
        <v>-4.839336396889049E-15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1" customWidth="1"/>
    <col min="2" max="2" width="8.57421875" style="152" customWidth="1"/>
    <col min="3" max="3" width="71.421875" style="151" customWidth="1"/>
    <col min="4" max="4" width="10.28125" style="152" customWidth="1"/>
    <col min="5" max="16384" width="9.140625" style="151" customWidth="1"/>
  </cols>
  <sheetData>
    <row r="1" ht="20.25">
      <c r="B1" s="80" t="str">
        <f>Main!B1</f>
        <v>4 Bar Linkage Calculator v3.0</v>
      </c>
    </row>
    <row r="2" ht="18">
      <c r="B2" s="153" t="s">
        <v>55</v>
      </c>
    </row>
    <row r="4" spans="2:4" ht="13.5" thickBot="1">
      <c r="B4" s="154" t="s">
        <v>56</v>
      </c>
      <c r="C4" s="155" t="s">
        <v>57</v>
      </c>
      <c r="D4" s="154" t="s">
        <v>58</v>
      </c>
    </row>
    <row r="5" spans="2:4" ht="6.75" customHeight="1">
      <c r="B5" s="156"/>
      <c r="C5" s="157"/>
      <c r="D5" s="156"/>
    </row>
    <row r="6" spans="2:4" ht="12.75">
      <c r="B6" s="158">
        <v>1.5</v>
      </c>
      <c r="C6" s="159" t="s">
        <v>59</v>
      </c>
      <c r="D6" s="160" t="s">
        <v>61</v>
      </c>
    </row>
    <row r="7" spans="2:3" ht="12.75">
      <c r="B7" s="161"/>
      <c r="C7" s="162" t="s">
        <v>60</v>
      </c>
    </row>
    <row r="8" spans="2:3" ht="12.75">
      <c r="B8" s="161"/>
      <c r="C8" s="162" t="s">
        <v>67</v>
      </c>
    </row>
    <row r="9" ht="12.75">
      <c r="C9" s="163"/>
    </row>
    <row r="10" spans="2:4" ht="12.75">
      <c r="B10" s="201">
        <v>2</v>
      </c>
      <c r="C10" s="159" t="s">
        <v>81</v>
      </c>
      <c r="D10" s="160" t="s">
        <v>83</v>
      </c>
    </row>
    <row r="11" spans="2:3" ht="12.75">
      <c r="B11" s="161"/>
      <c r="C11" s="162" t="s">
        <v>82</v>
      </c>
    </row>
    <row r="12" spans="2:4" ht="12.75">
      <c r="B12" s="202"/>
      <c r="C12" s="162" t="s">
        <v>90</v>
      </c>
      <c r="D12" s="151"/>
    </row>
    <row r="13" spans="2:3" ht="12.75">
      <c r="B13" s="202"/>
      <c r="C13" s="162" t="s">
        <v>92</v>
      </c>
    </row>
    <row r="14" spans="2:3" ht="12.75">
      <c r="B14" s="202"/>
      <c r="C14" s="162" t="s">
        <v>91</v>
      </c>
    </row>
    <row r="15" spans="2:3" ht="12.75">
      <c r="B15" s="202"/>
      <c r="C15" s="163"/>
    </row>
    <row r="16" spans="2:4" ht="12.75">
      <c r="B16" s="203">
        <v>3</v>
      </c>
      <c r="C16" s="159" t="s">
        <v>100</v>
      </c>
      <c r="D16" s="160" t="s">
        <v>125</v>
      </c>
    </row>
    <row r="17" spans="2:3" ht="12.75">
      <c r="B17" s="202"/>
      <c r="C17" s="162" t="s">
        <v>101</v>
      </c>
    </row>
    <row r="18" spans="2:3" ht="12.75">
      <c r="B18" s="202"/>
      <c r="C18" s="164" t="s">
        <v>131</v>
      </c>
    </row>
    <row r="19" spans="2:3" ht="12.75">
      <c r="B19" s="202"/>
      <c r="C19" s="162" t="s">
        <v>130</v>
      </c>
    </row>
    <row r="20" spans="2:3" ht="12.75">
      <c r="B20" s="202"/>
      <c r="C20" s="162" t="s">
        <v>133</v>
      </c>
    </row>
    <row r="21" spans="2:3" ht="12.75">
      <c r="B21" s="161"/>
      <c r="C21" s="162" t="s">
        <v>134</v>
      </c>
    </row>
    <row r="22" spans="2:3" ht="12.75">
      <c r="B22" s="161"/>
      <c r="C22" s="162" t="s">
        <v>135</v>
      </c>
    </row>
    <row r="23" spans="2:4" ht="12.75">
      <c r="B23" s="158" t="s">
        <v>140</v>
      </c>
      <c r="C23" s="162" t="s">
        <v>137</v>
      </c>
      <c r="D23" s="208" t="s">
        <v>139</v>
      </c>
    </row>
    <row r="24" spans="2:3" ht="12.75">
      <c r="B24" s="161"/>
      <c r="C24" s="162" t="s">
        <v>138</v>
      </c>
    </row>
    <row r="25" spans="2:4" ht="12.75">
      <c r="B25" s="158">
        <v>3.1</v>
      </c>
      <c r="C25" s="159" t="s">
        <v>183</v>
      </c>
      <c r="D25" s="229" t="s">
        <v>186</v>
      </c>
    </row>
    <row r="26" spans="3:4" ht="12.75">
      <c r="C26" s="162" t="s">
        <v>184</v>
      </c>
      <c r="D26" s="152" t="s">
        <v>187</v>
      </c>
    </row>
    <row r="27" ht="12.75">
      <c r="C27" s="159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10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2008-07-24T16:04:08Z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